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04" windowWidth="22056" windowHeight="9264" activeTab="1"/>
  </bookViews>
  <sheets>
    <sheet name="107學年度第2學期經費核定表" sheetId="1" r:id="rId1"/>
    <sheet name="107學年度第2學期第2期經費核撥表" sheetId="3" r:id="rId2"/>
    <sheet name="工作表1" sheetId="2" r:id="rId3"/>
  </sheets>
  <externalReferences>
    <externalReference r:id="rId4"/>
  </externalReferences>
  <definedNames>
    <definedName name="_xlnm.Print_Area" localSheetId="1">'107學年度第2學期第2期經費核撥表'!$A$1:$G$103</definedName>
    <definedName name="_xlnm.Print_Area" localSheetId="0">'107學年度第2學期經費核定表'!$A$1:$U$107</definedName>
    <definedName name="_xlnm.Print_Titles" localSheetId="1">'107學年度第2學期第2期經費核撥表'!$1:$4</definedName>
    <definedName name="_xlnm.Print_Titles" localSheetId="0">'107學年度第2學期經費核定表'!$1:$4</definedName>
  </definedNames>
  <calcPr calcId="145621" concurrentCalc="0"/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5" i="3"/>
  <c r="F103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C34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D77" i="3"/>
  <c r="E77" i="3"/>
  <c r="D78" i="3"/>
  <c r="E78" i="3"/>
  <c r="D79" i="3"/>
  <c r="E79" i="3"/>
  <c r="D80" i="3"/>
  <c r="E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G103" i="3"/>
  <c r="C103" i="3"/>
  <c r="D103" i="3"/>
  <c r="Q103" i="1"/>
  <c r="K103" i="1"/>
  <c r="T102" i="1"/>
  <c r="P102" i="1"/>
  <c r="O102" i="1"/>
  <c r="N102" i="1"/>
  <c r="M102" i="1"/>
  <c r="J102" i="1"/>
  <c r="H102" i="1"/>
  <c r="G102" i="1"/>
  <c r="F102" i="1"/>
  <c r="E102" i="1"/>
  <c r="R102" i="1"/>
  <c r="D102" i="1"/>
  <c r="C102" i="1"/>
  <c r="T101" i="1"/>
  <c r="P101" i="1"/>
  <c r="O101" i="1"/>
  <c r="N101" i="1"/>
  <c r="M101" i="1"/>
  <c r="J101" i="1"/>
  <c r="H101" i="1"/>
  <c r="G101" i="1"/>
  <c r="F101" i="1"/>
  <c r="E101" i="1"/>
  <c r="R101" i="1"/>
  <c r="D101" i="1"/>
  <c r="C101" i="1"/>
  <c r="T100" i="1"/>
  <c r="P100" i="1"/>
  <c r="O100" i="1"/>
  <c r="N100" i="1"/>
  <c r="M100" i="1"/>
  <c r="J100" i="1"/>
  <c r="H100" i="1"/>
  <c r="G100" i="1"/>
  <c r="F100" i="1"/>
  <c r="E100" i="1"/>
  <c r="R100" i="1"/>
  <c r="D100" i="1"/>
  <c r="C100" i="1"/>
  <c r="T99" i="1"/>
  <c r="P99" i="1"/>
  <c r="O99" i="1"/>
  <c r="N99" i="1"/>
  <c r="M99" i="1"/>
  <c r="J99" i="1"/>
  <c r="H99" i="1"/>
  <c r="G99" i="1"/>
  <c r="F99" i="1"/>
  <c r="E99" i="1"/>
  <c r="R99" i="1"/>
  <c r="D99" i="1"/>
  <c r="C99" i="1"/>
  <c r="I99" i="1"/>
  <c r="T98" i="1"/>
  <c r="P98" i="1"/>
  <c r="O98" i="1"/>
  <c r="N98" i="1"/>
  <c r="M98" i="1"/>
  <c r="J98" i="1"/>
  <c r="H98" i="1"/>
  <c r="G98" i="1"/>
  <c r="F98" i="1"/>
  <c r="E98" i="1"/>
  <c r="R98" i="1"/>
  <c r="D98" i="1"/>
  <c r="C98" i="1"/>
  <c r="T97" i="1"/>
  <c r="P97" i="1"/>
  <c r="O97" i="1"/>
  <c r="N97" i="1"/>
  <c r="M97" i="1"/>
  <c r="J97" i="1"/>
  <c r="H97" i="1"/>
  <c r="G97" i="1"/>
  <c r="F97" i="1"/>
  <c r="E97" i="1"/>
  <c r="R97" i="1"/>
  <c r="D97" i="1"/>
  <c r="C97" i="1"/>
  <c r="T96" i="1"/>
  <c r="P96" i="1"/>
  <c r="O96" i="1"/>
  <c r="N96" i="1"/>
  <c r="M96" i="1"/>
  <c r="J96" i="1"/>
  <c r="H96" i="1"/>
  <c r="G96" i="1"/>
  <c r="F96" i="1"/>
  <c r="E96" i="1"/>
  <c r="R96" i="1"/>
  <c r="D96" i="1"/>
  <c r="C96" i="1"/>
  <c r="T95" i="1"/>
  <c r="P95" i="1"/>
  <c r="O95" i="1"/>
  <c r="N95" i="1"/>
  <c r="M95" i="1"/>
  <c r="J95" i="1"/>
  <c r="H95" i="1"/>
  <c r="G95" i="1"/>
  <c r="F95" i="1"/>
  <c r="E95" i="1"/>
  <c r="R95" i="1"/>
  <c r="D95" i="1"/>
  <c r="C95" i="1"/>
  <c r="I95" i="1"/>
  <c r="T94" i="1"/>
  <c r="P94" i="1"/>
  <c r="O94" i="1"/>
  <c r="N94" i="1"/>
  <c r="M94" i="1"/>
  <c r="J94" i="1"/>
  <c r="H94" i="1"/>
  <c r="G94" i="1"/>
  <c r="F94" i="1"/>
  <c r="E94" i="1"/>
  <c r="R94" i="1"/>
  <c r="D94" i="1"/>
  <c r="C94" i="1"/>
  <c r="T93" i="1"/>
  <c r="P93" i="1"/>
  <c r="O93" i="1"/>
  <c r="N93" i="1"/>
  <c r="M93" i="1"/>
  <c r="J93" i="1"/>
  <c r="H93" i="1"/>
  <c r="G93" i="1"/>
  <c r="F93" i="1"/>
  <c r="E93" i="1"/>
  <c r="R93" i="1"/>
  <c r="D93" i="1"/>
  <c r="C93" i="1"/>
  <c r="T92" i="1"/>
  <c r="P92" i="1"/>
  <c r="O92" i="1"/>
  <c r="N92" i="1"/>
  <c r="M92" i="1"/>
  <c r="J92" i="1"/>
  <c r="H92" i="1"/>
  <c r="G92" i="1"/>
  <c r="F92" i="1"/>
  <c r="E92" i="1"/>
  <c r="R92" i="1"/>
  <c r="D92" i="1"/>
  <c r="C92" i="1"/>
  <c r="T91" i="1"/>
  <c r="P91" i="1"/>
  <c r="O91" i="1"/>
  <c r="N91" i="1"/>
  <c r="M91" i="1"/>
  <c r="J91" i="1"/>
  <c r="H91" i="1"/>
  <c r="G91" i="1"/>
  <c r="F91" i="1"/>
  <c r="E91" i="1"/>
  <c r="R91" i="1"/>
  <c r="D91" i="1"/>
  <c r="C91" i="1"/>
  <c r="I91" i="1"/>
  <c r="T90" i="1"/>
  <c r="P90" i="1"/>
  <c r="O90" i="1"/>
  <c r="N90" i="1"/>
  <c r="M90" i="1"/>
  <c r="J90" i="1"/>
  <c r="H90" i="1"/>
  <c r="G90" i="1"/>
  <c r="F90" i="1"/>
  <c r="E90" i="1"/>
  <c r="R90" i="1"/>
  <c r="D90" i="1"/>
  <c r="C90" i="1"/>
  <c r="T89" i="1"/>
  <c r="P89" i="1"/>
  <c r="O89" i="1"/>
  <c r="N89" i="1"/>
  <c r="M89" i="1"/>
  <c r="J89" i="1"/>
  <c r="H89" i="1"/>
  <c r="G89" i="1"/>
  <c r="F89" i="1"/>
  <c r="E89" i="1"/>
  <c r="R89" i="1"/>
  <c r="D89" i="1"/>
  <c r="C89" i="1"/>
  <c r="T88" i="1"/>
  <c r="P88" i="1"/>
  <c r="O88" i="1"/>
  <c r="N88" i="1"/>
  <c r="M88" i="1"/>
  <c r="J88" i="1"/>
  <c r="H88" i="1"/>
  <c r="G88" i="1"/>
  <c r="F88" i="1"/>
  <c r="E88" i="1"/>
  <c r="R88" i="1"/>
  <c r="D88" i="1"/>
  <c r="C88" i="1"/>
  <c r="T87" i="1"/>
  <c r="P87" i="1"/>
  <c r="O87" i="1"/>
  <c r="N87" i="1"/>
  <c r="M87" i="1"/>
  <c r="J87" i="1"/>
  <c r="H87" i="1"/>
  <c r="G87" i="1"/>
  <c r="F87" i="1"/>
  <c r="E87" i="1"/>
  <c r="R87" i="1"/>
  <c r="D87" i="1"/>
  <c r="C87" i="1"/>
  <c r="I87" i="1"/>
  <c r="T86" i="1"/>
  <c r="P86" i="1"/>
  <c r="O86" i="1"/>
  <c r="N86" i="1"/>
  <c r="M86" i="1"/>
  <c r="J86" i="1"/>
  <c r="H86" i="1"/>
  <c r="G86" i="1"/>
  <c r="F86" i="1"/>
  <c r="E86" i="1"/>
  <c r="R86" i="1"/>
  <c r="D86" i="1"/>
  <c r="C86" i="1"/>
  <c r="T85" i="1"/>
  <c r="P85" i="1"/>
  <c r="O85" i="1"/>
  <c r="N85" i="1"/>
  <c r="M85" i="1"/>
  <c r="J85" i="1"/>
  <c r="H85" i="1"/>
  <c r="G85" i="1"/>
  <c r="F85" i="1"/>
  <c r="E85" i="1"/>
  <c r="R85" i="1"/>
  <c r="D85" i="1"/>
  <c r="C85" i="1"/>
  <c r="T84" i="1"/>
  <c r="P84" i="1"/>
  <c r="O84" i="1"/>
  <c r="N84" i="1"/>
  <c r="M84" i="1"/>
  <c r="J84" i="1"/>
  <c r="H84" i="1"/>
  <c r="G84" i="1"/>
  <c r="F84" i="1"/>
  <c r="E84" i="1"/>
  <c r="R84" i="1"/>
  <c r="D84" i="1"/>
  <c r="C84" i="1"/>
  <c r="T83" i="1"/>
  <c r="P83" i="1"/>
  <c r="O83" i="1"/>
  <c r="N83" i="1"/>
  <c r="M83" i="1"/>
  <c r="J83" i="1"/>
  <c r="H83" i="1"/>
  <c r="G83" i="1"/>
  <c r="F83" i="1"/>
  <c r="E83" i="1"/>
  <c r="R83" i="1"/>
  <c r="D83" i="1"/>
  <c r="C83" i="1"/>
  <c r="I83" i="1"/>
  <c r="T82" i="1"/>
  <c r="R82" i="1"/>
  <c r="P82" i="1"/>
  <c r="O82" i="1"/>
  <c r="N82" i="1"/>
  <c r="M82" i="1"/>
  <c r="J82" i="1"/>
  <c r="H82" i="1"/>
  <c r="G82" i="1"/>
  <c r="F82" i="1"/>
  <c r="E82" i="1"/>
  <c r="D82" i="1"/>
  <c r="C82" i="1"/>
  <c r="T81" i="1"/>
  <c r="P81" i="1"/>
  <c r="O81" i="1"/>
  <c r="N81" i="1"/>
  <c r="M81" i="1"/>
  <c r="J81" i="1"/>
  <c r="H81" i="1"/>
  <c r="G81" i="1"/>
  <c r="F81" i="1"/>
  <c r="E81" i="1"/>
  <c r="R81" i="1"/>
  <c r="D81" i="1"/>
  <c r="C81" i="1"/>
  <c r="T80" i="1"/>
  <c r="P80" i="1"/>
  <c r="O80" i="1"/>
  <c r="N80" i="1"/>
  <c r="M80" i="1"/>
  <c r="J80" i="1"/>
  <c r="H80" i="1"/>
  <c r="G80" i="1"/>
  <c r="F80" i="1"/>
  <c r="E80" i="1"/>
  <c r="R80" i="1"/>
  <c r="D80" i="1"/>
  <c r="C80" i="1"/>
  <c r="T79" i="1"/>
  <c r="P79" i="1"/>
  <c r="O79" i="1"/>
  <c r="N79" i="1"/>
  <c r="M79" i="1"/>
  <c r="J79" i="1"/>
  <c r="H79" i="1"/>
  <c r="G79" i="1"/>
  <c r="F79" i="1"/>
  <c r="E79" i="1"/>
  <c r="R79" i="1"/>
  <c r="D79" i="1"/>
  <c r="C79" i="1"/>
  <c r="T78" i="1"/>
  <c r="P78" i="1"/>
  <c r="O78" i="1"/>
  <c r="N78" i="1"/>
  <c r="M78" i="1"/>
  <c r="J78" i="1"/>
  <c r="H78" i="1"/>
  <c r="G78" i="1"/>
  <c r="F78" i="1"/>
  <c r="E78" i="1"/>
  <c r="R78" i="1"/>
  <c r="D78" i="1"/>
  <c r="C78" i="1"/>
  <c r="T77" i="1"/>
  <c r="P77" i="1"/>
  <c r="O77" i="1"/>
  <c r="N77" i="1"/>
  <c r="M77" i="1"/>
  <c r="J77" i="1"/>
  <c r="H77" i="1"/>
  <c r="G77" i="1"/>
  <c r="F77" i="1"/>
  <c r="E77" i="1"/>
  <c r="R77" i="1"/>
  <c r="D77" i="1"/>
  <c r="C77" i="1"/>
  <c r="T76" i="1"/>
  <c r="P76" i="1"/>
  <c r="O76" i="1"/>
  <c r="N76" i="1"/>
  <c r="M76" i="1"/>
  <c r="J76" i="1"/>
  <c r="H76" i="1"/>
  <c r="G76" i="1"/>
  <c r="F76" i="1"/>
  <c r="E76" i="1"/>
  <c r="R76" i="1"/>
  <c r="D76" i="1"/>
  <c r="C76" i="1"/>
  <c r="T75" i="1"/>
  <c r="P75" i="1"/>
  <c r="O75" i="1"/>
  <c r="N75" i="1"/>
  <c r="M75" i="1"/>
  <c r="J75" i="1"/>
  <c r="H75" i="1"/>
  <c r="G75" i="1"/>
  <c r="F75" i="1"/>
  <c r="E75" i="1"/>
  <c r="R75" i="1"/>
  <c r="D75" i="1"/>
  <c r="C75" i="1"/>
  <c r="T74" i="1"/>
  <c r="R74" i="1"/>
  <c r="P74" i="1"/>
  <c r="O74" i="1"/>
  <c r="N74" i="1"/>
  <c r="M74" i="1"/>
  <c r="S74" i="1"/>
  <c r="U74" i="1"/>
  <c r="J74" i="1"/>
  <c r="H74" i="1"/>
  <c r="G74" i="1"/>
  <c r="F74" i="1"/>
  <c r="E74" i="1"/>
  <c r="D74" i="1"/>
  <c r="C74" i="1"/>
  <c r="T73" i="1"/>
  <c r="P73" i="1"/>
  <c r="O73" i="1"/>
  <c r="N73" i="1"/>
  <c r="M73" i="1"/>
  <c r="J73" i="1"/>
  <c r="H73" i="1"/>
  <c r="G73" i="1"/>
  <c r="F73" i="1"/>
  <c r="E73" i="1"/>
  <c r="R73" i="1"/>
  <c r="D73" i="1"/>
  <c r="C73" i="1"/>
  <c r="T72" i="1"/>
  <c r="P72" i="1"/>
  <c r="O72" i="1"/>
  <c r="N72" i="1"/>
  <c r="M72" i="1"/>
  <c r="S72" i="1"/>
  <c r="U72" i="1"/>
  <c r="J72" i="1"/>
  <c r="H72" i="1"/>
  <c r="G72" i="1"/>
  <c r="F72" i="1"/>
  <c r="E72" i="1"/>
  <c r="R72" i="1"/>
  <c r="D72" i="1"/>
  <c r="C72" i="1"/>
  <c r="T71" i="1"/>
  <c r="P71" i="1"/>
  <c r="O71" i="1"/>
  <c r="N71" i="1"/>
  <c r="M71" i="1"/>
  <c r="J71" i="1"/>
  <c r="H71" i="1"/>
  <c r="G71" i="1"/>
  <c r="F71" i="1"/>
  <c r="E71" i="1"/>
  <c r="R71" i="1"/>
  <c r="D71" i="1"/>
  <c r="C71" i="1"/>
  <c r="T70" i="1"/>
  <c r="P70" i="1"/>
  <c r="O70" i="1"/>
  <c r="N70" i="1"/>
  <c r="M70" i="1"/>
  <c r="J70" i="1"/>
  <c r="H70" i="1"/>
  <c r="G70" i="1"/>
  <c r="F70" i="1"/>
  <c r="E70" i="1"/>
  <c r="R70" i="1"/>
  <c r="D70" i="1"/>
  <c r="C70" i="1"/>
  <c r="T69" i="1"/>
  <c r="P69" i="1"/>
  <c r="O69" i="1"/>
  <c r="N69" i="1"/>
  <c r="M69" i="1"/>
  <c r="J69" i="1"/>
  <c r="H69" i="1"/>
  <c r="G69" i="1"/>
  <c r="F69" i="1"/>
  <c r="E69" i="1"/>
  <c r="R69" i="1"/>
  <c r="D69" i="1"/>
  <c r="C69" i="1"/>
  <c r="T68" i="1"/>
  <c r="P68" i="1"/>
  <c r="O68" i="1"/>
  <c r="N68" i="1"/>
  <c r="M68" i="1"/>
  <c r="J68" i="1"/>
  <c r="H68" i="1"/>
  <c r="G68" i="1"/>
  <c r="F68" i="1"/>
  <c r="E68" i="1"/>
  <c r="R68" i="1"/>
  <c r="D68" i="1"/>
  <c r="C68" i="1"/>
  <c r="T67" i="1"/>
  <c r="P67" i="1"/>
  <c r="O67" i="1"/>
  <c r="N67" i="1"/>
  <c r="M67" i="1"/>
  <c r="J67" i="1"/>
  <c r="H67" i="1"/>
  <c r="G67" i="1"/>
  <c r="F67" i="1"/>
  <c r="E67" i="1"/>
  <c r="R67" i="1"/>
  <c r="D67" i="1"/>
  <c r="C67" i="1"/>
  <c r="T66" i="1"/>
  <c r="P66" i="1"/>
  <c r="O66" i="1"/>
  <c r="N66" i="1"/>
  <c r="M66" i="1"/>
  <c r="J66" i="1"/>
  <c r="H66" i="1"/>
  <c r="G66" i="1"/>
  <c r="F66" i="1"/>
  <c r="E66" i="1"/>
  <c r="R66" i="1"/>
  <c r="D66" i="1"/>
  <c r="C66" i="1"/>
  <c r="T65" i="1"/>
  <c r="P65" i="1"/>
  <c r="O65" i="1"/>
  <c r="N65" i="1"/>
  <c r="M65" i="1"/>
  <c r="J65" i="1"/>
  <c r="H65" i="1"/>
  <c r="G65" i="1"/>
  <c r="F65" i="1"/>
  <c r="E65" i="1"/>
  <c r="R65" i="1"/>
  <c r="D65" i="1"/>
  <c r="C65" i="1"/>
  <c r="T64" i="1"/>
  <c r="P64" i="1"/>
  <c r="O64" i="1"/>
  <c r="N64" i="1"/>
  <c r="M64" i="1"/>
  <c r="J64" i="1"/>
  <c r="H64" i="1"/>
  <c r="G64" i="1"/>
  <c r="F64" i="1"/>
  <c r="E64" i="1"/>
  <c r="R64" i="1"/>
  <c r="D64" i="1"/>
  <c r="C64" i="1"/>
  <c r="T63" i="1"/>
  <c r="P63" i="1"/>
  <c r="O63" i="1"/>
  <c r="N63" i="1"/>
  <c r="M63" i="1"/>
  <c r="J63" i="1"/>
  <c r="H63" i="1"/>
  <c r="G63" i="1"/>
  <c r="F63" i="1"/>
  <c r="E63" i="1"/>
  <c r="R63" i="1"/>
  <c r="D63" i="1"/>
  <c r="C63" i="1"/>
  <c r="T62" i="1"/>
  <c r="P62" i="1"/>
  <c r="O62" i="1"/>
  <c r="N62" i="1"/>
  <c r="M62" i="1"/>
  <c r="J62" i="1"/>
  <c r="H62" i="1"/>
  <c r="G62" i="1"/>
  <c r="F62" i="1"/>
  <c r="E62" i="1"/>
  <c r="R62" i="1"/>
  <c r="D62" i="1"/>
  <c r="C62" i="1"/>
  <c r="T61" i="1"/>
  <c r="P61" i="1"/>
  <c r="O61" i="1"/>
  <c r="N61" i="1"/>
  <c r="M61" i="1"/>
  <c r="J61" i="1"/>
  <c r="H61" i="1"/>
  <c r="G61" i="1"/>
  <c r="F61" i="1"/>
  <c r="E61" i="1"/>
  <c r="R61" i="1"/>
  <c r="D61" i="1"/>
  <c r="C61" i="1"/>
  <c r="T60" i="1"/>
  <c r="P60" i="1"/>
  <c r="O60" i="1"/>
  <c r="N60" i="1"/>
  <c r="M60" i="1"/>
  <c r="J60" i="1"/>
  <c r="H60" i="1"/>
  <c r="G60" i="1"/>
  <c r="F60" i="1"/>
  <c r="E60" i="1"/>
  <c r="R60" i="1"/>
  <c r="D60" i="1"/>
  <c r="C60" i="1"/>
  <c r="T59" i="1"/>
  <c r="P59" i="1"/>
  <c r="O59" i="1"/>
  <c r="N59" i="1"/>
  <c r="M59" i="1"/>
  <c r="J59" i="1"/>
  <c r="H59" i="1"/>
  <c r="G59" i="1"/>
  <c r="F59" i="1"/>
  <c r="E59" i="1"/>
  <c r="R59" i="1"/>
  <c r="D59" i="1"/>
  <c r="C59" i="1"/>
  <c r="T58" i="1"/>
  <c r="P58" i="1"/>
  <c r="O58" i="1"/>
  <c r="N58" i="1"/>
  <c r="M58" i="1"/>
  <c r="J58" i="1"/>
  <c r="H58" i="1"/>
  <c r="G58" i="1"/>
  <c r="F58" i="1"/>
  <c r="E58" i="1"/>
  <c r="R58" i="1"/>
  <c r="D58" i="1"/>
  <c r="C58" i="1"/>
  <c r="T57" i="1"/>
  <c r="P57" i="1"/>
  <c r="O57" i="1"/>
  <c r="N57" i="1"/>
  <c r="M57" i="1"/>
  <c r="J57" i="1"/>
  <c r="H57" i="1"/>
  <c r="G57" i="1"/>
  <c r="F57" i="1"/>
  <c r="E57" i="1"/>
  <c r="R57" i="1"/>
  <c r="D57" i="1"/>
  <c r="C57" i="1"/>
  <c r="T56" i="1"/>
  <c r="P56" i="1"/>
  <c r="O56" i="1"/>
  <c r="N56" i="1"/>
  <c r="M56" i="1"/>
  <c r="J56" i="1"/>
  <c r="H56" i="1"/>
  <c r="G56" i="1"/>
  <c r="F56" i="1"/>
  <c r="E56" i="1"/>
  <c r="R56" i="1"/>
  <c r="D56" i="1"/>
  <c r="C56" i="1"/>
  <c r="T55" i="1"/>
  <c r="P55" i="1"/>
  <c r="O55" i="1"/>
  <c r="N55" i="1"/>
  <c r="M55" i="1"/>
  <c r="J55" i="1"/>
  <c r="H55" i="1"/>
  <c r="G55" i="1"/>
  <c r="F55" i="1"/>
  <c r="E55" i="1"/>
  <c r="R55" i="1"/>
  <c r="D55" i="1"/>
  <c r="C55" i="1"/>
  <c r="T54" i="1"/>
  <c r="P54" i="1"/>
  <c r="O54" i="1"/>
  <c r="N54" i="1"/>
  <c r="M54" i="1"/>
  <c r="J54" i="1"/>
  <c r="H54" i="1"/>
  <c r="G54" i="1"/>
  <c r="F54" i="1"/>
  <c r="E54" i="1"/>
  <c r="R54" i="1"/>
  <c r="D54" i="1"/>
  <c r="C54" i="1"/>
  <c r="T53" i="1"/>
  <c r="R53" i="1"/>
  <c r="P53" i="1"/>
  <c r="O53" i="1"/>
  <c r="N53" i="1"/>
  <c r="M53" i="1"/>
  <c r="S53" i="1"/>
  <c r="U53" i="1"/>
  <c r="J53" i="1"/>
  <c r="H53" i="1"/>
  <c r="G53" i="1"/>
  <c r="F53" i="1"/>
  <c r="E53" i="1"/>
  <c r="D53" i="1"/>
  <c r="C53" i="1"/>
  <c r="T52" i="1"/>
  <c r="P52" i="1"/>
  <c r="O52" i="1"/>
  <c r="N52" i="1"/>
  <c r="M52" i="1"/>
  <c r="J52" i="1"/>
  <c r="H52" i="1"/>
  <c r="G52" i="1"/>
  <c r="F52" i="1"/>
  <c r="E52" i="1"/>
  <c r="R52" i="1"/>
  <c r="D52" i="1"/>
  <c r="C52" i="1"/>
  <c r="T51" i="1"/>
  <c r="P51" i="1"/>
  <c r="O51" i="1"/>
  <c r="N51" i="1"/>
  <c r="M51" i="1"/>
  <c r="J51" i="1"/>
  <c r="H51" i="1"/>
  <c r="G51" i="1"/>
  <c r="F51" i="1"/>
  <c r="E51" i="1"/>
  <c r="R51" i="1"/>
  <c r="D51" i="1"/>
  <c r="C51" i="1"/>
  <c r="T50" i="1"/>
  <c r="P50" i="1"/>
  <c r="O50" i="1"/>
  <c r="N50" i="1"/>
  <c r="M50" i="1"/>
  <c r="J50" i="1"/>
  <c r="H50" i="1"/>
  <c r="G50" i="1"/>
  <c r="F50" i="1"/>
  <c r="E50" i="1"/>
  <c r="R50" i="1"/>
  <c r="D50" i="1"/>
  <c r="C50" i="1"/>
  <c r="T49" i="1"/>
  <c r="P49" i="1"/>
  <c r="O49" i="1"/>
  <c r="N49" i="1"/>
  <c r="M49" i="1"/>
  <c r="J49" i="1"/>
  <c r="H49" i="1"/>
  <c r="G49" i="1"/>
  <c r="F49" i="1"/>
  <c r="E49" i="1"/>
  <c r="R49" i="1"/>
  <c r="D49" i="1"/>
  <c r="C49" i="1"/>
  <c r="P48" i="1"/>
  <c r="O48" i="1"/>
  <c r="N48" i="1"/>
  <c r="M48" i="1"/>
  <c r="J48" i="1"/>
  <c r="H48" i="1"/>
  <c r="G48" i="1"/>
  <c r="F48" i="1"/>
  <c r="E48" i="1"/>
  <c r="R48" i="1"/>
  <c r="D48" i="1"/>
  <c r="C48" i="1"/>
  <c r="T47" i="1"/>
  <c r="P47" i="1"/>
  <c r="O47" i="1"/>
  <c r="N47" i="1"/>
  <c r="M47" i="1"/>
  <c r="J47" i="1"/>
  <c r="H47" i="1"/>
  <c r="G47" i="1"/>
  <c r="F47" i="1"/>
  <c r="E47" i="1"/>
  <c r="D47" i="1"/>
  <c r="C47" i="1"/>
  <c r="T46" i="1"/>
  <c r="P46" i="1"/>
  <c r="O46" i="1"/>
  <c r="N46" i="1"/>
  <c r="M46" i="1"/>
  <c r="J46" i="1"/>
  <c r="H46" i="1"/>
  <c r="G46" i="1"/>
  <c r="F46" i="1"/>
  <c r="E46" i="1"/>
  <c r="D46" i="1"/>
  <c r="C46" i="1"/>
  <c r="T45" i="1"/>
  <c r="P45" i="1"/>
  <c r="O45" i="1"/>
  <c r="N45" i="1"/>
  <c r="M45" i="1"/>
  <c r="J45" i="1"/>
  <c r="H45" i="1"/>
  <c r="G45" i="1"/>
  <c r="F45" i="1"/>
  <c r="E45" i="1"/>
  <c r="R45" i="1"/>
  <c r="D45" i="1"/>
  <c r="C45" i="1"/>
  <c r="T44" i="1"/>
  <c r="P44" i="1"/>
  <c r="O44" i="1"/>
  <c r="N44" i="1"/>
  <c r="M44" i="1"/>
  <c r="J44" i="1"/>
  <c r="H44" i="1"/>
  <c r="G44" i="1"/>
  <c r="F44" i="1"/>
  <c r="E44" i="1"/>
  <c r="R44" i="1"/>
  <c r="D44" i="1"/>
  <c r="C44" i="1"/>
  <c r="T43" i="1"/>
  <c r="P43" i="1"/>
  <c r="O43" i="1"/>
  <c r="N43" i="1"/>
  <c r="M43" i="1"/>
  <c r="J43" i="1"/>
  <c r="H43" i="1"/>
  <c r="G43" i="1"/>
  <c r="F43" i="1"/>
  <c r="E43" i="1"/>
  <c r="R43" i="1"/>
  <c r="D43" i="1"/>
  <c r="C43" i="1"/>
  <c r="T42" i="1"/>
  <c r="P42" i="1"/>
  <c r="O42" i="1"/>
  <c r="N42" i="1"/>
  <c r="M42" i="1"/>
  <c r="J42" i="1"/>
  <c r="H42" i="1"/>
  <c r="G42" i="1"/>
  <c r="F42" i="1"/>
  <c r="E42" i="1"/>
  <c r="D42" i="1"/>
  <c r="C42" i="1"/>
  <c r="T41" i="1"/>
  <c r="P41" i="1"/>
  <c r="O41" i="1"/>
  <c r="N41" i="1"/>
  <c r="M41" i="1"/>
  <c r="J41" i="1"/>
  <c r="H41" i="1"/>
  <c r="G41" i="1"/>
  <c r="F41" i="1"/>
  <c r="E41" i="1"/>
  <c r="R41" i="1"/>
  <c r="D41" i="1"/>
  <c r="C41" i="1"/>
  <c r="T40" i="1"/>
  <c r="P40" i="1"/>
  <c r="O40" i="1"/>
  <c r="N40" i="1"/>
  <c r="M40" i="1"/>
  <c r="J40" i="1"/>
  <c r="H40" i="1"/>
  <c r="G40" i="1"/>
  <c r="F40" i="1"/>
  <c r="E40" i="1"/>
  <c r="R40" i="1"/>
  <c r="D40" i="1"/>
  <c r="C40" i="1"/>
  <c r="T39" i="1"/>
  <c r="P39" i="1"/>
  <c r="O39" i="1"/>
  <c r="N39" i="1"/>
  <c r="M39" i="1"/>
  <c r="J39" i="1"/>
  <c r="H39" i="1"/>
  <c r="G39" i="1"/>
  <c r="F39" i="1"/>
  <c r="E39" i="1"/>
  <c r="D39" i="1"/>
  <c r="C39" i="1"/>
  <c r="T38" i="1"/>
  <c r="P38" i="1"/>
  <c r="O38" i="1"/>
  <c r="N38" i="1"/>
  <c r="M38" i="1"/>
  <c r="J38" i="1"/>
  <c r="H38" i="1"/>
  <c r="G38" i="1"/>
  <c r="F38" i="1"/>
  <c r="E38" i="1"/>
  <c r="D38" i="1"/>
  <c r="C38" i="1"/>
  <c r="T37" i="1"/>
  <c r="P37" i="1"/>
  <c r="O37" i="1"/>
  <c r="N37" i="1"/>
  <c r="M37" i="1"/>
  <c r="J37" i="1"/>
  <c r="H37" i="1"/>
  <c r="G37" i="1"/>
  <c r="F37" i="1"/>
  <c r="E37" i="1"/>
  <c r="R37" i="1"/>
  <c r="D37" i="1"/>
  <c r="C37" i="1"/>
  <c r="T36" i="1"/>
  <c r="P36" i="1"/>
  <c r="O36" i="1"/>
  <c r="N36" i="1"/>
  <c r="M36" i="1"/>
  <c r="J36" i="1"/>
  <c r="H36" i="1"/>
  <c r="G36" i="1"/>
  <c r="F36" i="1"/>
  <c r="E36" i="1"/>
  <c r="R36" i="1"/>
  <c r="D36" i="1"/>
  <c r="C36" i="1"/>
  <c r="T35" i="1"/>
  <c r="P35" i="1"/>
  <c r="O35" i="1"/>
  <c r="N35" i="1"/>
  <c r="M35" i="1"/>
  <c r="J35" i="1"/>
  <c r="H35" i="1"/>
  <c r="G35" i="1"/>
  <c r="F35" i="1"/>
  <c r="E35" i="1"/>
  <c r="D35" i="1"/>
  <c r="C35" i="1"/>
  <c r="P34" i="1"/>
  <c r="O34" i="1"/>
  <c r="S34" i="1"/>
  <c r="U34" i="1"/>
  <c r="N34" i="1"/>
  <c r="J34" i="1"/>
  <c r="H34" i="1"/>
  <c r="G34" i="1"/>
  <c r="F34" i="1"/>
  <c r="E34" i="1"/>
  <c r="R34" i="1"/>
  <c r="D34" i="1"/>
  <c r="C34" i="1"/>
  <c r="T33" i="1"/>
  <c r="P33" i="1"/>
  <c r="O33" i="1"/>
  <c r="N33" i="1"/>
  <c r="M33" i="1"/>
  <c r="J33" i="1"/>
  <c r="H33" i="1"/>
  <c r="G33" i="1"/>
  <c r="F33" i="1"/>
  <c r="E33" i="1"/>
  <c r="R33" i="1"/>
  <c r="D33" i="1"/>
  <c r="C33" i="1"/>
  <c r="T32" i="1"/>
  <c r="P32" i="1"/>
  <c r="O32" i="1"/>
  <c r="N32" i="1"/>
  <c r="M32" i="1"/>
  <c r="J32" i="1"/>
  <c r="H32" i="1"/>
  <c r="G32" i="1"/>
  <c r="F32" i="1"/>
  <c r="E32" i="1"/>
  <c r="R32" i="1"/>
  <c r="D32" i="1"/>
  <c r="C32" i="1"/>
  <c r="T31" i="1"/>
  <c r="P31" i="1"/>
  <c r="O31" i="1"/>
  <c r="N31" i="1"/>
  <c r="M31" i="1"/>
  <c r="J31" i="1"/>
  <c r="H31" i="1"/>
  <c r="G31" i="1"/>
  <c r="F31" i="1"/>
  <c r="E31" i="1"/>
  <c r="R31" i="1"/>
  <c r="D31" i="1"/>
  <c r="C31" i="1"/>
  <c r="T30" i="1"/>
  <c r="P30" i="1"/>
  <c r="O30" i="1"/>
  <c r="N30" i="1"/>
  <c r="M30" i="1"/>
  <c r="J30" i="1"/>
  <c r="H30" i="1"/>
  <c r="G30" i="1"/>
  <c r="F30" i="1"/>
  <c r="E30" i="1"/>
  <c r="R30" i="1"/>
  <c r="D30" i="1"/>
  <c r="C30" i="1"/>
  <c r="I30" i="1"/>
  <c r="T29" i="1"/>
  <c r="P29" i="1"/>
  <c r="O29" i="1"/>
  <c r="N29" i="1"/>
  <c r="M29" i="1"/>
  <c r="J29" i="1"/>
  <c r="H29" i="1"/>
  <c r="G29" i="1"/>
  <c r="F29" i="1"/>
  <c r="E29" i="1"/>
  <c r="R29" i="1"/>
  <c r="D29" i="1"/>
  <c r="C29" i="1"/>
  <c r="I29" i="1"/>
  <c r="T28" i="1"/>
  <c r="P28" i="1"/>
  <c r="O28" i="1"/>
  <c r="N28" i="1"/>
  <c r="M28" i="1"/>
  <c r="J28" i="1"/>
  <c r="H28" i="1"/>
  <c r="G28" i="1"/>
  <c r="F28" i="1"/>
  <c r="E28" i="1"/>
  <c r="R28" i="1"/>
  <c r="D28" i="1"/>
  <c r="C28" i="1"/>
  <c r="T27" i="1"/>
  <c r="P27" i="1"/>
  <c r="O27" i="1"/>
  <c r="N27" i="1"/>
  <c r="M27" i="1"/>
  <c r="J27" i="1"/>
  <c r="H27" i="1"/>
  <c r="G27" i="1"/>
  <c r="F27" i="1"/>
  <c r="E27" i="1"/>
  <c r="R27" i="1"/>
  <c r="D27" i="1"/>
  <c r="C27" i="1"/>
  <c r="I27" i="1"/>
  <c r="T26" i="1"/>
  <c r="P26" i="1"/>
  <c r="O26" i="1"/>
  <c r="N26" i="1"/>
  <c r="M26" i="1"/>
  <c r="J26" i="1"/>
  <c r="H26" i="1"/>
  <c r="G26" i="1"/>
  <c r="F26" i="1"/>
  <c r="E26" i="1"/>
  <c r="R26" i="1"/>
  <c r="D26" i="1"/>
  <c r="C26" i="1"/>
  <c r="T25" i="1"/>
  <c r="P25" i="1"/>
  <c r="O25" i="1"/>
  <c r="N25" i="1"/>
  <c r="M25" i="1"/>
  <c r="J25" i="1"/>
  <c r="H25" i="1"/>
  <c r="G25" i="1"/>
  <c r="F25" i="1"/>
  <c r="E25" i="1"/>
  <c r="R25" i="1"/>
  <c r="D25" i="1"/>
  <c r="C25" i="1"/>
  <c r="T24" i="1"/>
  <c r="P24" i="1"/>
  <c r="O24" i="1"/>
  <c r="N24" i="1"/>
  <c r="M24" i="1"/>
  <c r="J24" i="1"/>
  <c r="H24" i="1"/>
  <c r="G24" i="1"/>
  <c r="F24" i="1"/>
  <c r="E24" i="1"/>
  <c r="R24" i="1"/>
  <c r="D24" i="1"/>
  <c r="C24" i="1"/>
  <c r="T23" i="1"/>
  <c r="P23" i="1"/>
  <c r="O23" i="1"/>
  <c r="N23" i="1"/>
  <c r="M23" i="1"/>
  <c r="H23" i="1"/>
  <c r="G23" i="1"/>
  <c r="F23" i="1"/>
  <c r="E23" i="1"/>
  <c r="R23" i="1"/>
  <c r="D23" i="1"/>
  <c r="C23" i="1"/>
  <c r="T22" i="1"/>
  <c r="P22" i="1"/>
  <c r="O22" i="1"/>
  <c r="N22" i="1"/>
  <c r="M22" i="1"/>
  <c r="J22" i="1"/>
  <c r="H22" i="1"/>
  <c r="G22" i="1"/>
  <c r="F22" i="1"/>
  <c r="E22" i="1"/>
  <c r="R22" i="1"/>
  <c r="D22" i="1"/>
  <c r="C22" i="1"/>
  <c r="T21" i="1"/>
  <c r="P21" i="1"/>
  <c r="O21" i="1"/>
  <c r="N21" i="1"/>
  <c r="M21" i="1"/>
  <c r="J21" i="1"/>
  <c r="H21" i="1"/>
  <c r="G21" i="1"/>
  <c r="F21" i="1"/>
  <c r="E21" i="1"/>
  <c r="R21" i="1"/>
  <c r="D21" i="1"/>
  <c r="C21" i="1"/>
  <c r="T20" i="1"/>
  <c r="P20" i="1"/>
  <c r="O20" i="1"/>
  <c r="N20" i="1"/>
  <c r="M20" i="1"/>
  <c r="J20" i="1"/>
  <c r="H20" i="1"/>
  <c r="G20" i="1"/>
  <c r="F20" i="1"/>
  <c r="E20" i="1"/>
  <c r="R20" i="1"/>
  <c r="D20" i="1"/>
  <c r="C20" i="1"/>
  <c r="T19" i="1"/>
  <c r="R19" i="1"/>
  <c r="P19" i="1"/>
  <c r="O19" i="1"/>
  <c r="N19" i="1"/>
  <c r="M19" i="1"/>
  <c r="J19" i="1"/>
  <c r="H19" i="1"/>
  <c r="G19" i="1"/>
  <c r="F19" i="1"/>
  <c r="E19" i="1"/>
  <c r="D19" i="1"/>
  <c r="C19" i="1"/>
  <c r="T18" i="1"/>
  <c r="P18" i="1"/>
  <c r="O18" i="1"/>
  <c r="N18" i="1"/>
  <c r="M18" i="1"/>
  <c r="J18" i="1"/>
  <c r="H18" i="1"/>
  <c r="G18" i="1"/>
  <c r="F18" i="1"/>
  <c r="E18" i="1"/>
  <c r="R18" i="1"/>
  <c r="D18" i="1"/>
  <c r="C18" i="1"/>
  <c r="T17" i="1"/>
  <c r="P17" i="1"/>
  <c r="O17" i="1"/>
  <c r="N17" i="1"/>
  <c r="M17" i="1"/>
  <c r="J17" i="1"/>
  <c r="H17" i="1"/>
  <c r="G17" i="1"/>
  <c r="F17" i="1"/>
  <c r="E17" i="1"/>
  <c r="R17" i="1"/>
  <c r="D17" i="1"/>
  <c r="C17" i="1"/>
  <c r="T16" i="1"/>
  <c r="P16" i="1"/>
  <c r="O16" i="1"/>
  <c r="N16" i="1"/>
  <c r="M16" i="1"/>
  <c r="J16" i="1"/>
  <c r="H16" i="1"/>
  <c r="G16" i="1"/>
  <c r="F16" i="1"/>
  <c r="E16" i="1"/>
  <c r="R16" i="1"/>
  <c r="D16" i="1"/>
  <c r="C16" i="1"/>
  <c r="T15" i="1"/>
  <c r="P15" i="1"/>
  <c r="O15" i="1"/>
  <c r="N15" i="1"/>
  <c r="M15" i="1"/>
  <c r="J15" i="1"/>
  <c r="H15" i="1"/>
  <c r="G15" i="1"/>
  <c r="F15" i="1"/>
  <c r="E15" i="1"/>
  <c r="R15" i="1"/>
  <c r="D15" i="1"/>
  <c r="C15" i="1"/>
  <c r="T14" i="1"/>
  <c r="P14" i="1"/>
  <c r="O14" i="1"/>
  <c r="N14" i="1"/>
  <c r="M14" i="1"/>
  <c r="J14" i="1"/>
  <c r="H14" i="1"/>
  <c r="G14" i="1"/>
  <c r="F14" i="1"/>
  <c r="E14" i="1"/>
  <c r="R14" i="1"/>
  <c r="D14" i="1"/>
  <c r="C14" i="1"/>
  <c r="T13" i="1"/>
  <c r="P13" i="1"/>
  <c r="O13" i="1"/>
  <c r="N13" i="1"/>
  <c r="M13" i="1"/>
  <c r="J13" i="1"/>
  <c r="H13" i="1"/>
  <c r="G13" i="1"/>
  <c r="F13" i="1"/>
  <c r="E13" i="1"/>
  <c r="R13" i="1"/>
  <c r="D13" i="1"/>
  <c r="C13" i="1"/>
  <c r="T12" i="1"/>
  <c r="R12" i="1"/>
  <c r="P12" i="1"/>
  <c r="O12" i="1"/>
  <c r="N12" i="1"/>
  <c r="M12" i="1"/>
  <c r="S12" i="1"/>
  <c r="U12" i="1"/>
  <c r="J12" i="1"/>
  <c r="H12" i="1"/>
  <c r="G12" i="1"/>
  <c r="F12" i="1"/>
  <c r="E12" i="1"/>
  <c r="D12" i="1"/>
  <c r="C12" i="1"/>
  <c r="T11" i="1"/>
  <c r="P11" i="1"/>
  <c r="O11" i="1"/>
  <c r="N11" i="1"/>
  <c r="M11" i="1"/>
  <c r="J11" i="1"/>
  <c r="H11" i="1"/>
  <c r="G11" i="1"/>
  <c r="F11" i="1"/>
  <c r="E11" i="1"/>
  <c r="R11" i="1"/>
  <c r="D11" i="1"/>
  <c r="C11" i="1"/>
  <c r="T10" i="1"/>
  <c r="P10" i="1"/>
  <c r="O10" i="1"/>
  <c r="N10" i="1"/>
  <c r="M10" i="1"/>
  <c r="J10" i="1"/>
  <c r="H10" i="1"/>
  <c r="G10" i="1"/>
  <c r="F10" i="1"/>
  <c r="E10" i="1"/>
  <c r="R10" i="1"/>
  <c r="D10" i="1"/>
  <c r="C10" i="1"/>
  <c r="T9" i="1"/>
  <c r="P9" i="1"/>
  <c r="O9" i="1"/>
  <c r="N9" i="1"/>
  <c r="M9" i="1"/>
  <c r="H9" i="1"/>
  <c r="G9" i="1"/>
  <c r="F9" i="1"/>
  <c r="E9" i="1"/>
  <c r="R9" i="1"/>
  <c r="D9" i="1"/>
  <c r="C9" i="1"/>
  <c r="T8" i="1"/>
  <c r="P8" i="1"/>
  <c r="O8" i="1"/>
  <c r="N8" i="1"/>
  <c r="M8" i="1"/>
  <c r="J8" i="1"/>
  <c r="H8" i="1"/>
  <c r="G8" i="1"/>
  <c r="F8" i="1"/>
  <c r="E8" i="1"/>
  <c r="D8" i="1"/>
  <c r="C8" i="1"/>
  <c r="T7" i="1"/>
  <c r="P7" i="1"/>
  <c r="O7" i="1"/>
  <c r="N7" i="1"/>
  <c r="M7" i="1"/>
  <c r="J7" i="1"/>
  <c r="H7" i="1"/>
  <c r="G7" i="1"/>
  <c r="F7" i="1"/>
  <c r="E7" i="1"/>
  <c r="D7" i="1"/>
  <c r="C7" i="1"/>
  <c r="T6" i="1"/>
  <c r="P6" i="1"/>
  <c r="O6" i="1"/>
  <c r="N6" i="1"/>
  <c r="M6" i="1"/>
  <c r="J6" i="1"/>
  <c r="H6" i="1"/>
  <c r="G6" i="1"/>
  <c r="F6" i="1"/>
  <c r="E6" i="1"/>
  <c r="D6" i="1"/>
  <c r="C6" i="1"/>
  <c r="T5" i="1"/>
  <c r="P5" i="1"/>
  <c r="O5" i="1"/>
  <c r="N5" i="1"/>
  <c r="M5" i="1"/>
  <c r="J5" i="1"/>
  <c r="H5" i="1"/>
  <c r="G5" i="1"/>
  <c r="F5" i="1"/>
  <c r="E5" i="1"/>
  <c r="D5" i="1"/>
  <c r="C5" i="1"/>
  <c r="E103" i="3"/>
  <c r="I15" i="1"/>
  <c r="S19" i="1"/>
  <c r="U19" i="1"/>
  <c r="I36" i="1"/>
  <c r="I77" i="1"/>
  <c r="I78" i="1"/>
  <c r="O103" i="1"/>
  <c r="S20" i="1"/>
  <c r="U20" i="1"/>
  <c r="S57" i="1"/>
  <c r="U57" i="1"/>
  <c r="S59" i="1"/>
  <c r="U59" i="1"/>
  <c r="S61" i="1"/>
  <c r="U61" i="1"/>
  <c r="S63" i="1"/>
  <c r="U63" i="1"/>
  <c r="S65" i="1"/>
  <c r="U65" i="1"/>
  <c r="S67" i="1"/>
  <c r="U67" i="1"/>
  <c r="S69" i="1"/>
  <c r="U69" i="1"/>
  <c r="S71" i="1"/>
  <c r="U71" i="1"/>
  <c r="I79" i="1"/>
  <c r="S70" i="1"/>
  <c r="U70" i="1"/>
  <c r="I11" i="1"/>
  <c r="S16" i="1"/>
  <c r="U16" i="1"/>
  <c r="I24" i="1"/>
  <c r="I42" i="1"/>
  <c r="I46" i="1"/>
  <c r="I47" i="1"/>
  <c r="S49" i="1"/>
  <c r="U49" i="1"/>
  <c r="I59" i="1"/>
  <c r="I61" i="1"/>
  <c r="I63" i="1"/>
  <c r="I65" i="1"/>
  <c r="I67" i="1"/>
  <c r="I69" i="1"/>
  <c r="I71" i="1"/>
  <c r="I73" i="1"/>
  <c r="S18" i="1"/>
  <c r="U18" i="1"/>
  <c r="S58" i="1"/>
  <c r="U58" i="1"/>
  <c r="S60" i="1"/>
  <c r="U60" i="1"/>
  <c r="S62" i="1"/>
  <c r="U62" i="1"/>
  <c r="S64" i="1"/>
  <c r="U64" i="1"/>
  <c r="S66" i="1"/>
  <c r="U66" i="1"/>
  <c r="S68" i="1"/>
  <c r="U68" i="1"/>
  <c r="S78" i="1"/>
  <c r="U78" i="1"/>
  <c r="I81" i="1"/>
  <c r="S82" i="1"/>
  <c r="U82" i="1"/>
  <c r="I85" i="1"/>
  <c r="S86" i="1"/>
  <c r="U86" i="1"/>
  <c r="I89" i="1"/>
  <c r="S90" i="1"/>
  <c r="U90" i="1"/>
  <c r="I93" i="1"/>
  <c r="S94" i="1"/>
  <c r="U94" i="1"/>
  <c r="I97" i="1"/>
  <c r="S98" i="1"/>
  <c r="U98" i="1"/>
  <c r="I6" i="1"/>
  <c r="S9" i="1"/>
  <c r="U9" i="1"/>
  <c r="I12" i="1"/>
  <c r="I21" i="1"/>
  <c r="I28" i="1"/>
  <c r="I34" i="1"/>
  <c r="I37" i="1"/>
  <c r="I40" i="1"/>
  <c r="S50" i="1"/>
  <c r="U50" i="1"/>
  <c r="I53" i="1"/>
  <c r="S54" i="1"/>
  <c r="U54" i="1"/>
  <c r="I57" i="1"/>
  <c r="I74" i="1"/>
  <c r="S75" i="1"/>
  <c r="U75" i="1"/>
  <c r="S79" i="1"/>
  <c r="U79" i="1"/>
  <c r="I82" i="1"/>
  <c r="S83" i="1"/>
  <c r="U83" i="1"/>
  <c r="I86" i="1"/>
  <c r="S87" i="1"/>
  <c r="U87" i="1"/>
  <c r="I90" i="1"/>
  <c r="S91" i="1"/>
  <c r="U91" i="1"/>
  <c r="I94" i="1"/>
  <c r="S95" i="1"/>
  <c r="U95" i="1"/>
  <c r="I98" i="1"/>
  <c r="S22" i="1"/>
  <c r="U22" i="1"/>
  <c r="J103" i="1"/>
  <c r="P103" i="1"/>
  <c r="I7" i="1"/>
  <c r="S17" i="1"/>
  <c r="U17" i="1"/>
  <c r="I19" i="1"/>
  <c r="I13" i="1"/>
  <c r="S14" i="1"/>
  <c r="U14" i="1"/>
  <c r="I22" i="1"/>
  <c r="S28" i="1"/>
  <c r="U28" i="1"/>
  <c r="I32" i="1"/>
  <c r="I35" i="1"/>
  <c r="I41" i="1"/>
  <c r="I43" i="1"/>
  <c r="I44" i="1"/>
  <c r="I45" i="1"/>
  <c r="I48" i="1"/>
  <c r="S51" i="1"/>
  <c r="U51" i="1"/>
  <c r="S55" i="1"/>
  <c r="U55" i="1"/>
  <c r="I60" i="1"/>
  <c r="I62" i="1"/>
  <c r="I64" i="1"/>
  <c r="I66" i="1"/>
  <c r="I68" i="1"/>
  <c r="I70" i="1"/>
  <c r="I72" i="1"/>
  <c r="I75" i="1"/>
  <c r="S76" i="1"/>
  <c r="U76" i="1"/>
  <c r="S80" i="1"/>
  <c r="U80" i="1"/>
  <c r="S84" i="1"/>
  <c r="U84" i="1"/>
  <c r="S88" i="1"/>
  <c r="U88" i="1"/>
  <c r="S92" i="1"/>
  <c r="U92" i="1"/>
  <c r="S96" i="1"/>
  <c r="U96" i="1"/>
  <c r="I100" i="1"/>
  <c r="I101" i="1"/>
  <c r="I102" i="1"/>
  <c r="E103" i="1"/>
  <c r="I8" i="1"/>
  <c r="I9" i="1"/>
  <c r="S13" i="1"/>
  <c r="U13" i="1"/>
  <c r="I16" i="1"/>
  <c r="S23" i="1"/>
  <c r="U23" i="1"/>
  <c r="I31" i="1"/>
  <c r="I33" i="1"/>
  <c r="F103" i="1"/>
  <c r="T103" i="1"/>
  <c r="S10" i="1"/>
  <c r="U10" i="1"/>
  <c r="I17" i="1"/>
  <c r="S26" i="1"/>
  <c r="U26" i="1"/>
  <c r="I10" i="1"/>
  <c r="S11" i="1"/>
  <c r="U11" i="1"/>
  <c r="I14" i="1"/>
  <c r="S15" i="1"/>
  <c r="U15" i="1"/>
  <c r="I18" i="1"/>
  <c r="I20" i="1"/>
  <c r="S21" i="1"/>
  <c r="U21" i="1"/>
  <c r="I23" i="1"/>
  <c r="I25" i="1"/>
  <c r="I26" i="1"/>
  <c r="S27" i="1"/>
  <c r="U27" i="1"/>
  <c r="S29" i="1"/>
  <c r="U29" i="1"/>
  <c r="S30" i="1"/>
  <c r="U30" i="1"/>
  <c r="I38" i="1"/>
  <c r="I39" i="1"/>
  <c r="I51" i="1"/>
  <c r="S52" i="1"/>
  <c r="U52" i="1"/>
  <c r="I55" i="1"/>
  <c r="S56" i="1"/>
  <c r="U56" i="1"/>
  <c r="S73" i="1"/>
  <c r="U73" i="1"/>
  <c r="I76" i="1"/>
  <c r="S77" i="1"/>
  <c r="U77" i="1"/>
  <c r="I80" i="1"/>
  <c r="S81" i="1"/>
  <c r="U81" i="1"/>
  <c r="I84" i="1"/>
  <c r="S85" i="1"/>
  <c r="U85" i="1"/>
  <c r="I88" i="1"/>
  <c r="S89" i="1"/>
  <c r="U89" i="1"/>
  <c r="I92" i="1"/>
  <c r="S93" i="1"/>
  <c r="U93" i="1"/>
  <c r="I96" i="1"/>
  <c r="S97" i="1"/>
  <c r="U97" i="1"/>
  <c r="S25" i="1"/>
  <c r="U25" i="1"/>
  <c r="S32" i="1"/>
  <c r="U32" i="1"/>
  <c r="S24" i="1"/>
  <c r="U24" i="1"/>
  <c r="S31" i="1"/>
  <c r="U31" i="1"/>
  <c r="S33" i="1"/>
  <c r="U33" i="1"/>
  <c r="G103" i="1"/>
  <c r="R7" i="1"/>
  <c r="S7" i="1"/>
  <c r="U7" i="1"/>
  <c r="R35" i="1"/>
  <c r="S35" i="1"/>
  <c r="U35" i="1"/>
  <c r="R39" i="1"/>
  <c r="S39" i="1"/>
  <c r="U39" i="1"/>
  <c r="S43" i="1"/>
  <c r="U43" i="1"/>
  <c r="R47" i="1"/>
  <c r="S47" i="1"/>
  <c r="U47" i="1"/>
  <c r="I50" i="1"/>
  <c r="S99" i="1"/>
  <c r="U99" i="1"/>
  <c r="S100" i="1"/>
  <c r="U100" i="1"/>
  <c r="S101" i="1"/>
  <c r="U101" i="1"/>
  <c r="S102" i="1"/>
  <c r="U102" i="1"/>
  <c r="C103" i="1"/>
  <c r="M103" i="1"/>
  <c r="R5" i="1"/>
  <c r="R6" i="1"/>
  <c r="S6" i="1"/>
  <c r="U6" i="1"/>
  <c r="R8" i="1"/>
  <c r="S8" i="1"/>
  <c r="U8" i="1"/>
  <c r="D103" i="1"/>
  <c r="H103" i="1"/>
  <c r="N103" i="1"/>
  <c r="R38" i="1"/>
  <c r="S38" i="1"/>
  <c r="U38" i="1"/>
  <c r="R42" i="1"/>
  <c r="S42" i="1"/>
  <c r="U42" i="1"/>
  <c r="R46" i="1"/>
  <c r="S46" i="1"/>
  <c r="U46" i="1"/>
  <c r="I49" i="1"/>
  <c r="I52" i="1"/>
  <c r="I54" i="1"/>
  <c r="I56" i="1"/>
  <c r="I58" i="1"/>
  <c r="I5" i="1"/>
  <c r="S37" i="1"/>
  <c r="U37" i="1"/>
  <c r="S41" i="1"/>
  <c r="U41" i="1"/>
  <c r="S45" i="1"/>
  <c r="U45" i="1"/>
  <c r="S36" i="1"/>
  <c r="U36" i="1"/>
  <c r="S40" i="1"/>
  <c r="U40" i="1"/>
  <c r="S44" i="1"/>
  <c r="U44" i="1"/>
  <c r="S48" i="1"/>
  <c r="U48" i="1"/>
  <c r="R103" i="1"/>
  <c r="I103" i="1"/>
  <c r="S5" i="1"/>
  <c r="S103" i="1"/>
  <c r="U5" i="1"/>
  <c r="U103" i="1"/>
</calcChain>
</file>

<file path=xl/sharedStrings.xml><?xml version="1.0" encoding="utf-8"?>
<sst xmlns="http://schemas.openxmlformats.org/spreadsheetml/2006/main" count="231" uniqueCount="134">
  <si>
    <t>107學年度第2學期國小課後輔導經費一覽表</t>
    <phoneticPr fontId="4" type="noConversion"/>
  </si>
  <si>
    <t>序號</t>
    <phoneticPr fontId="4" type="noConversion"/>
  </si>
  <si>
    <t>學校名稱</t>
    <phoneticPr fontId="4" type="noConversion"/>
  </si>
  <si>
    <t>260鐘點費
( A )</t>
    <phoneticPr fontId="4" type="noConversion"/>
  </si>
  <si>
    <t>320元鐘點費(B)</t>
    <phoneticPr fontId="4" type="noConversion"/>
  </si>
  <si>
    <t>260元                    鐘點費差額                  ( C )</t>
    <phoneticPr fontId="4" type="noConversion"/>
  </si>
  <si>
    <t>行政費
( D )</t>
    <phoneticPr fontId="4" type="noConversion"/>
  </si>
  <si>
    <t>勞保
( E)</t>
    <phoneticPr fontId="4" type="noConversion"/>
  </si>
  <si>
    <t>勞退
( F )</t>
    <phoneticPr fontId="4" type="noConversion"/>
  </si>
  <si>
    <t>107學年度       第1學期         剩餘款         (H)</t>
    <phoneticPr fontId="4" type="noConversion"/>
  </si>
  <si>
    <t>自費生收費       (I)</t>
    <phoneticPr fontId="4" type="noConversion"/>
  </si>
  <si>
    <t xml:space="preserve">非前四類學生補助金額
(本府補助)
(J)                   </t>
    <phoneticPr fontId="4" type="noConversion"/>
  </si>
  <si>
    <t>第四類學生
補助金額
(本府補助)
(K)</t>
    <phoneticPr fontId="4" type="noConversion"/>
  </si>
  <si>
    <t>三類學生申請補助金額</t>
    <phoneticPr fontId="4" type="noConversion"/>
  </si>
  <si>
    <t>108年1月份        鐘點費差額         (O)</t>
    <phoneticPr fontId="4" type="noConversion"/>
  </si>
  <si>
    <t>107學年度      第2學期             鐘點費差額       ( P )</t>
    <phoneticPr fontId="4" type="noConversion"/>
  </si>
  <si>
    <t>自費生收費合計                   ( R )</t>
    <phoneticPr fontId="4" type="noConversion"/>
  </si>
  <si>
    <t>107學年度第2學期各校開課總經費            ( S )=( Q+R )</t>
    <phoneticPr fontId="4" type="noConversion"/>
  </si>
  <si>
    <t xml:space="preserve">學校及縣市政府分攤
(40%) </t>
    <phoneticPr fontId="4" type="noConversion"/>
  </si>
  <si>
    <t xml:space="preserve">中央分攤
(60%) </t>
    <phoneticPr fontId="4" type="noConversion"/>
  </si>
  <si>
    <t>學校或受託人依規定吸納數及行政費調整勻支數
(L)</t>
    <phoneticPr fontId="4" type="noConversion"/>
  </si>
  <si>
    <t>縣市政府自籌補助數
(M)</t>
    <phoneticPr fontId="4" type="noConversion"/>
  </si>
  <si>
    <t>縣市請求中央分攤60%補助數
(N)</t>
    <phoneticPr fontId="4" type="noConversion"/>
  </si>
  <si>
    <t>601明禮國小</t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</si>
  <si>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</si>
  <si>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</si>
  <si>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</si>
  <si>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</si>
  <si>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</si>
  <si>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</si>
  <si>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</si>
  <si>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</si>
  <si>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</si>
  <si>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</si>
  <si>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</si>
  <si>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</si>
  <si>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</si>
  <si>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</si>
  <si>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</si>
  <si>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</si>
  <si>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</si>
  <si>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</si>
  <si>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</si>
  <si>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</si>
  <si>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</si>
  <si>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</si>
  <si>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</si>
  <si>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</si>
  <si>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</si>
  <si>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</si>
  <si>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</si>
  <si>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</si>
  <si>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</si>
  <si>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</si>
  <si>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</si>
  <si>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</si>
  <si>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</si>
  <si>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</si>
  <si>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</si>
  <si>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</si>
  <si>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</si>
  <si>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</si>
  <si>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</si>
  <si>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</si>
  <si>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</si>
  <si>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</si>
  <si>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</si>
  <si>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</si>
  <si>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</si>
  <si>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</si>
  <si>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</si>
  <si>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</si>
  <si>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</si>
  <si>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</si>
  <si>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</si>
  <si>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</si>
  <si>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</si>
  <si>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</si>
  <si>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</si>
  <si>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</si>
  <si>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</si>
  <si>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</si>
  <si>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</si>
  <si>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</si>
  <si>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</si>
  <si>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</si>
  <si>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</si>
  <si>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</si>
  <si>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</si>
  <si>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</si>
  <si>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</si>
  <si>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</si>
  <si>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</si>
  <si>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</si>
  <si>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</si>
  <si>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</si>
  <si>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</si>
  <si>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</si>
  <si>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</si>
  <si>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</si>
  <si>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</si>
  <si>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</si>
  <si>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</si>
  <si>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</si>
  <si>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</si>
  <si>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</si>
  <si>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</si>
  <si>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</si>
  <si>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</si>
  <si>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</si>
  <si>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</si>
  <si>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</si>
  <si>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</si>
  <si>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</si>
  <si>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</si>
  <si>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</si>
  <si>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</si>
  <si>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</si>
  <si>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2537東華附小</t>
    <phoneticPr fontId="4" type="noConversion"/>
  </si>
  <si>
    <t>2501海星國小</t>
  </si>
  <si>
    <t>2542慈濟附小</t>
  </si>
  <si>
    <t>合計</t>
    <phoneticPr fontId="4" type="noConversion"/>
  </si>
  <si>
    <t>107學年度         第2學期               開課總經費
(G)= (A+B+C+D+E+F)</t>
    <phoneticPr fontId="4" type="noConversion"/>
  </si>
  <si>
    <t>107學年度第2學期         申請補助合計                      (含1月份鐘點費差額)                    (Q)                                   = (J+K+M+N+O+P-H)</t>
    <phoneticPr fontId="4" type="noConversion"/>
  </si>
  <si>
    <t>序號</t>
    <phoneticPr fontId="3" type="noConversion"/>
  </si>
  <si>
    <t>學校名稱</t>
    <phoneticPr fontId="4" type="noConversion"/>
  </si>
  <si>
    <t>2537東華附小</t>
    <phoneticPr fontId="3" type="noConversion"/>
  </si>
  <si>
    <t>合計</t>
    <phoneticPr fontId="3" type="noConversion"/>
  </si>
  <si>
    <t>108年1月份   鐘點費       差額補助   (B)</t>
    <phoneticPr fontId="3" type="noConversion"/>
  </si>
  <si>
    <t xml:space="preserve">107學年度       第2學期           申請補助合計     (A) </t>
    <phoneticPr fontId="3" type="noConversion"/>
  </si>
  <si>
    <r>
      <t xml:space="preserve">107學年度  第2學期    申請補助總計   </t>
    </r>
    <r>
      <rPr>
        <sz val="12"/>
        <color theme="1"/>
        <rFont val="標楷體"/>
        <family val="4"/>
        <charset val="136"/>
      </rPr>
      <t>(C)=(A)+(B)</t>
    </r>
    <phoneticPr fontId="3" type="noConversion"/>
  </si>
  <si>
    <t xml:space="preserve">107學年度   第2學期         第1期款    (D)  </t>
    <phoneticPr fontId="3" type="noConversion"/>
  </si>
  <si>
    <t>107學年度第2學期第2期款          (E)=(C)-(D)</t>
    <phoneticPr fontId="3" type="noConversion"/>
  </si>
  <si>
    <t>107學年度第2學期國民小學辦理兒童課輔課照經費核撥表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</si>
</sst>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"/>
    <numFmt numFmtId="177" formatCode="_-* #,##0_-;\-* #,##0_-;_-* &quot;-&quot;_-;_-@"/>
    <numFmt numFmtId="178" formatCode="#,##0_);[Red]\(#,##0\)"/>
  </numFmts>
  <fonts count="55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b/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新細明體-ExtB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theme="1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7">
    <xf numFmtId="0" fontId="0" fillId="0" borderId="0">
      <alignment vertical="center"/>
    </xf>
    <xf numFmtId="0" fontId="1" fillId="0" borderId="0"/>
    <xf numFmtId="0" fontId="6" fillId="0" borderId="0"/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35" borderId="14" applyNumberFormat="0" applyFont="0" applyAlignment="0" applyProtection="0">
      <alignment vertical="center"/>
    </xf>
    <xf numFmtId="0" fontId="30" fillId="32" borderId="1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32" borderId="8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6" fillId="35" borderId="1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19" borderId="8" applyNumberFormat="0" applyAlignment="0" applyProtection="0">
      <alignment vertical="center"/>
    </xf>
    <xf numFmtId="0" fontId="43" fillId="32" borderId="15" applyNumberFormat="0" applyAlignment="0" applyProtection="0">
      <alignment vertical="center"/>
    </xf>
    <xf numFmtId="0" fontId="44" fillId="33" borderId="9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1" applyFont="1" applyAlignment="1"/>
    <xf numFmtId="0" fontId="6" fillId="8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76" fontId="9" fillId="2" borderId="1" xfId="2" applyNumberFormat="1" applyFont="1" applyFill="1" applyBorder="1" applyAlignment="1" applyProtection="1">
      <alignment vertical="center" shrinkToFit="1"/>
    </xf>
    <xf numFmtId="177" fontId="9" fillId="2" borderId="1" xfId="1" applyNumberFormat="1" applyFont="1" applyFill="1" applyBorder="1" applyAlignment="1">
      <alignment vertical="center"/>
    </xf>
    <xf numFmtId="178" fontId="9" fillId="3" borderId="1" xfId="1" applyNumberFormat="1" applyFont="1" applyFill="1" applyBorder="1" applyAlignment="1">
      <alignment vertical="center"/>
    </xf>
    <xf numFmtId="178" fontId="10" fillId="4" borderId="1" xfId="2" applyNumberFormat="1" applyFont="1" applyFill="1" applyBorder="1" applyAlignment="1" applyProtection="1">
      <alignment vertical="center" shrinkToFit="1"/>
    </xf>
    <xf numFmtId="178" fontId="11" fillId="5" borderId="1" xfId="2" applyNumberFormat="1" applyFont="1" applyFill="1" applyBorder="1" applyAlignment="1" applyProtection="1">
      <alignment vertical="center" shrinkToFit="1"/>
    </xf>
    <xf numFmtId="178" fontId="10" fillId="6" borderId="1" xfId="2" applyNumberFormat="1" applyFont="1" applyFill="1" applyBorder="1" applyAlignment="1" applyProtection="1">
      <alignment vertical="center" shrinkToFit="1"/>
    </xf>
    <xf numFmtId="178" fontId="10" fillId="12" borderId="1" xfId="2" applyNumberFormat="1" applyFont="1" applyFill="1" applyBorder="1" applyAlignment="1" applyProtection="1">
      <alignment vertical="center" shrinkToFit="1"/>
    </xf>
    <xf numFmtId="178" fontId="10" fillId="9" borderId="1" xfId="2" applyNumberFormat="1" applyFont="1" applyFill="1" applyBorder="1" applyAlignment="1" applyProtection="1">
      <alignment vertical="center" shrinkToFit="1"/>
    </xf>
    <xf numFmtId="178" fontId="10" fillId="10" borderId="1" xfId="2" applyNumberFormat="1" applyFont="1" applyFill="1" applyBorder="1" applyAlignment="1" applyProtection="1">
      <alignment vertical="center" shrinkToFit="1"/>
    </xf>
    <xf numFmtId="0" fontId="5" fillId="0" borderId="0" xfId="1" applyFont="1" applyAlignment="1">
      <alignment vertical="center"/>
    </xf>
    <xf numFmtId="0" fontId="12" fillId="0" borderId="6" xfId="1" applyFont="1" applyBorder="1" applyAlignment="1">
      <alignment horizontal="center" vertical="center" wrapText="1"/>
    </xf>
    <xf numFmtId="178" fontId="10" fillId="5" borderId="1" xfId="2" applyNumberFormat="1" applyFont="1" applyFill="1" applyBorder="1" applyAlignment="1" applyProtection="1">
      <alignment vertical="center" shrinkToFit="1"/>
    </xf>
    <xf numFmtId="0" fontId="6" fillId="0" borderId="0" xfId="1" applyFont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176" fontId="9" fillId="2" borderId="2" xfId="2" applyNumberFormat="1" applyFont="1" applyFill="1" applyBorder="1" applyAlignment="1" applyProtection="1">
      <alignment vertical="center" shrinkToFit="1"/>
    </xf>
    <xf numFmtId="177" fontId="9" fillId="2" borderId="2" xfId="1" applyNumberFormat="1" applyFont="1" applyFill="1" applyBorder="1" applyAlignment="1">
      <alignment vertical="center"/>
    </xf>
    <xf numFmtId="178" fontId="10" fillId="4" borderId="2" xfId="2" applyNumberFormat="1" applyFont="1" applyFill="1" applyBorder="1" applyAlignment="1" applyProtection="1">
      <alignment vertical="center" shrinkToFit="1"/>
    </xf>
    <xf numFmtId="178" fontId="10" fillId="6" borderId="2" xfId="2" applyNumberFormat="1" applyFont="1" applyFill="1" applyBorder="1" applyAlignment="1" applyProtection="1">
      <alignment vertical="center" shrinkToFit="1"/>
    </xf>
    <xf numFmtId="178" fontId="10" fillId="12" borderId="2" xfId="2" applyNumberFormat="1" applyFont="1" applyFill="1" applyBorder="1" applyAlignment="1" applyProtection="1">
      <alignment vertical="center" shrinkToFit="1"/>
    </xf>
    <xf numFmtId="178" fontId="10" fillId="9" borderId="2" xfId="2" applyNumberFormat="1" applyFont="1" applyFill="1" applyBorder="1" applyAlignment="1" applyProtection="1">
      <alignment vertical="center" shrinkToFit="1"/>
    </xf>
    <xf numFmtId="176" fontId="13" fillId="13" borderId="1" xfId="1" applyNumberFormat="1" applyFont="1" applyFill="1" applyBorder="1" applyAlignment="1">
      <alignment vertical="center"/>
    </xf>
    <xf numFmtId="0" fontId="5" fillId="13" borderId="0" xfId="1" applyFont="1" applyFill="1" applyAlignment="1"/>
    <xf numFmtId="0" fontId="14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13" fillId="0" borderId="0" xfId="1" applyFont="1"/>
    <xf numFmtId="0" fontId="11" fillId="0" borderId="0" xfId="1" applyFont="1"/>
    <xf numFmtId="0" fontId="7" fillId="0" borderId="0" xfId="1" applyFont="1" applyAlignment="1">
      <alignment vertical="center"/>
    </xf>
    <xf numFmtId="0" fontId="13" fillId="0" borderId="0" xfId="1" applyFont="1" applyAlignment="1"/>
    <xf numFmtId="0" fontId="11" fillId="0" borderId="0" xfId="1" applyFont="1" applyAlignment="1"/>
    <xf numFmtId="178" fontId="48" fillId="10" borderId="1" xfId="2" applyNumberFormat="1" applyFont="1" applyFill="1" applyBorder="1" applyAlignment="1" applyProtection="1">
      <alignment vertical="center" shrinkToFit="1"/>
    </xf>
    <xf numFmtId="0" fontId="37" fillId="0" borderId="0" xfId="1" applyFont="1"/>
    <xf numFmtId="0" fontId="37" fillId="0" borderId="0" xfId="1" applyFont="1" applyAlignment="1">
      <alignment vertical="center"/>
    </xf>
    <xf numFmtId="0" fontId="37" fillId="0" borderId="0" xfId="1" applyFont="1" applyAlignment="1"/>
    <xf numFmtId="176" fontId="49" fillId="13" borderId="1" xfId="1" applyNumberFormat="1" applyFont="1" applyFill="1" applyBorder="1" applyAlignment="1">
      <alignment vertical="center"/>
    </xf>
    <xf numFmtId="176" fontId="50" fillId="13" borderId="1" xfId="1" applyNumberFormat="1" applyFont="1" applyFill="1" applyBorder="1" applyAlignment="1">
      <alignment vertical="center"/>
    </xf>
    <xf numFmtId="0" fontId="49" fillId="0" borderId="1" xfId="0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 wrapText="1"/>
    </xf>
    <xf numFmtId="176" fontId="49" fillId="0" borderId="1" xfId="0" applyNumberFormat="1" applyFont="1" applyBorder="1" applyAlignment="1">
      <alignment horizontal="right" vertical="center"/>
    </xf>
    <xf numFmtId="0" fontId="52" fillId="0" borderId="1" xfId="1" applyFont="1" applyBorder="1" applyAlignment="1">
      <alignment horizontal="center" vertical="center" wrapText="1"/>
    </xf>
    <xf numFmtId="0" fontId="49" fillId="13" borderId="1" xfId="0" applyFont="1" applyFill="1" applyBorder="1" applyAlignment="1">
      <alignment horizontal="center" vertical="center"/>
    </xf>
    <xf numFmtId="0" fontId="49" fillId="13" borderId="1" xfId="1" applyFont="1" applyFill="1" applyBorder="1" applyAlignment="1">
      <alignment horizontal="center" vertical="center" wrapText="1"/>
    </xf>
    <xf numFmtId="176" fontId="49" fillId="13" borderId="1" xfId="0" applyNumberFormat="1" applyFont="1" applyFill="1" applyBorder="1" applyAlignment="1">
      <alignment horizontal="right" vertical="center"/>
    </xf>
    <xf numFmtId="0" fontId="0" fillId="13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176" fontId="52" fillId="0" borderId="1" xfId="0" applyNumberFormat="1" applyFont="1" applyBorder="1" applyAlignment="1">
      <alignment horizontal="right" vertical="center"/>
    </xf>
    <xf numFmtId="0" fontId="52" fillId="13" borderId="1" xfId="1" applyFont="1" applyFill="1" applyBorder="1" applyAlignment="1">
      <alignment horizontal="center" vertical="center" wrapText="1"/>
    </xf>
    <xf numFmtId="176" fontId="52" fillId="13" borderId="1" xfId="0" applyNumberFormat="1" applyFont="1" applyFill="1" applyBorder="1" applyAlignment="1">
      <alignment horizontal="right" vertical="center"/>
    </xf>
    <xf numFmtId="0" fontId="15" fillId="0" borderId="0" xfId="1" applyFont="1" applyAlignment="1">
      <alignment horizontal="center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9" borderId="5" xfId="1" applyFont="1" applyFill="1" applyBorder="1" applyAlignment="1">
      <alignment horizontal="center" vertical="center" wrapText="1"/>
    </xf>
    <xf numFmtId="0" fontId="47" fillId="10" borderId="2" xfId="1" applyFont="1" applyFill="1" applyBorder="1" applyAlignment="1">
      <alignment horizontal="center" vertical="center" wrapText="1"/>
    </xf>
    <xf numFmtId="0" fontId="47" fillId="10" borderId="3" xfId="1" applyFont="1" applyFill="1" applyBorder="1" applyAlignment="1">
      <alignment horizontal="center" vertical="center" wrapText="1"/>
    </xf>
    <xf numFmtId="0" fontId="47" fillId="10" borderId="5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10" borderId="5" xfId="1" applyFont="1" applyFill="1" applyBorder="1" applyAlignment="1">
      <alignment horizontal="center" vertical="center" wrapText="1"/>
    </xf>
    <xf numFmtId="0" fontId="13" fillId="1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/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/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8" borderId="1" xfId="1" applyFont="1" applyFill="1" applyBorder="1"/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 wrapText="1"/>
    </xf>
    <xf numFmtId="176" fontId="52" fillId="13" borderId="2" xfId="0" applyNumberFormat="1" applyFont="1" applyFill="1" applyBorder="1" applyAlignment="1">
      <alignment horizontal="center" vertical="center" wrapText="1"/>
    </xf>
    <xf numFmtId="176" fontId="52" fillId="13" borderId="3" xfId="0" applyNumberFormat="1" applyFont="1" applyFill="1" applyBorder="1" applyAlignment="1">
      <alignment horizontal="center" vertical="center" wrapText="1"/>
    </xf>
    <xf numFmtId="176" fontId="52" fillId="13" borderId="5" xfId="0" applyNumberFormat="1" applyFont="1" applyFill="1" applyBorder="1" applyAlignment="1">
      <alignment horizontal="center" vertical="center" wrapText="1"/>
    </xf>
    <xf numFmtId="176" fontId="52" fillId="13" borderId="0" xfId="0" applyNumberFormat="1" applyFont="1" applyFill="1" applyAlignment="1">
      <alignment horizontal="right" vertical="center"/>
    </xf>
    <xf numFmtId="0" fontId="53" fillId="13" borderId="0" xfId="0" applyFont="1" applyFill="1" applyBorder="1" applyAlignment="1">
      <alignment horizontal="right" vertical="center"/>
    </xf>
    <xf numFmtId="176" fontId="52" fillId="13" borderId="1" xfId="0" applyNumberFormat="1" applyFont="1" applyFill="1" applyBorder="1" applyAlignment="1">
      <alignment horizontal="center" vertical="center"/>
    </xf>
    <xf numFmtId="176" fontId="52" fillId="13" borderId="0" xfId="0" applyNumberFormat="1" applyFont="1" applyFill="1" applyAlignment="1">
      <alignment horizontal="center" vertical="center"/>
    </xf>
    <xf numFmtId="0" fontId="53" fillId="13" borderId="0" xfId="0" applyFont="1" applyFill="1" applyBorder="1" applyAlignment="1">
      <alignment horizontal="center" vertical="center"/>
    </xf>
    <xf numFmtId="176" fontId="54" fillId="13" borderId="2" xfId="0" applyNumberFormat="1" applyFont="1" applyFill="1" applyBorder="1" applyAlignment="1">
      <alignment horizontal="center" vertical="center" wrapText="1"/>
    </xf>
    <xf numFmtId="176" fontId="54" fillId="13" borderId="3" xfId="0" applyNumberFormat="1" applyFont="1" applyFill="1" applyBorder="1" applyAlignment="1">
      <alignment horizontal="center" vertical="center" wrapText="1"/>
    </xf>
    <xf numFmtId="176" fontId="54" fillId="13" borderId="5" xfId="0" applyNumberFormat="1" applyFont="1" applyFill="1" applyBorder="1" applyAlignment="1">
      <alignment horizontal="center" vertical="center" wrapText="1"/>
    </xf>
    <xf numFmtId="176" fontId="54" fillId="13" borderId="1" xfId="0" applyNumberFormat="1" applyFont="1" applyFill="1" applyBorder="1" applyAlignment="1">
      <alignment horizontal="center" vertical="center"/>
    </xf>
  </cellXfs>
  <cellStyles count="2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輔色1 2" xfId="9"/>
    <cellStyle name="20% - 輔色2 2" xfId="10"/>
    <cellStyle name="20% - 輔色3 2" xfId="11"/>
    <cellStyle name="20% - 輔色4 2" xfId="12"/>
    <cellStyle name="20% - 輔色5 2" xfId="13"/>
    <cellStyle name="20% - 輔色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輔色1 2" xfId="21"/>
    <cellStyle name="40% - 輔色2 2" xfId="22"/>
    <cellStyle name="40% - 輔色3 2" xfId="23"/>
    <cellStyle name="40% - 輔色4 2" xfId="24"/>
    <cellStyle name="40% - 輔色5 2" xfId="25"/>
    <cellStyle name="40% - 輔色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輔色1 2" xfId="33"/>
    <cellStyle name="60% - 輔色2 2" xfId="34"/>
    <cellStyle name="60% - 輔色3 2" xfId="35"/>
    <cellStyle name="60% - 輔色4 2" xfId="36"/>
    <cellStyle name="60% - 輔色5 2" xfId="37"/>
    <cellStyle name="60% - 輔色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Linked Cell" xfId="55"/>
    <cellStyle name="Neutral" xfId="56"/>
    <cellStyle name="Note" xfId="57"/>
    <cellStyle name="Output" xfId="58"/>
    <cellStyle name="Title" xfId="59"/>
    <cellStyle name="Total" xfId="60"/>
    <cellStyle name="Warning Text" xfId="61"/>
    <cellStyle name="一般" xfId="0" builtinId="0"/>
    <cellStyle name="一般 10 2" xfId="62"/>
    <cellStyle name="一般 10 3" xfId="63"/>
    <cellStyle name="一般 10 4" xfId="64"/>
    <cellStyle name="一般 10 5" xfId="65"/>
    <cellStyle name="一般 11 2" xfId="66"/>
    <cellStyle name="一般 11 3" xfId="67"/>
    <cellStyle name="一般 11 4" xfId="68"/>
    <cellStyle name="一般 12 2" xfId="69"/>
    <cellStyle name="一般 12 3" xfId="70"/>
    <cellStyle name="一般 15 2" xfId="71"/>
    <cellStyle name="一般 2" xfId="1"/>
    <cellStyle name="一般 2 10" xfId="72"/>
    <cellStyle name="一般 2 11" xfId="73"/>
    <cellStyle name="一般 2 12" xfId="74"/>
    <cellStyle name="一般 2 13" xfId="75"/>
    <cellStyle name="一般 2 14" xfId="76"/>
    <cellStyle name="一般 2 15" xfId="77"/>
    <cellStyle name="一般 2 16" xfId="78"/>
    <cellStyle name="一般 2 17" xfId="79"/>
    <cellStyle name="一般 2 18" xfId="80"/>
    <cellStyle name="一般 2 19" xfId="81"/>
    <cellStyle name="一般 2 2" xfId="2"/>
    <cellStyle name="一般 2 20" xfId="82"/>
    <cellStyle name="一般 2 21" xfId="83"/>
    <cellStyle name="一般 2 22" xfId="84"/>
    <cellStyle name="一般 2 23" xfId="85"/>
    <cellStyle name="一般 2 24" xfId="86"/>
    <cellStyle name="一般 2 25" xfId="87"/>
    <cellStyle name="一般 2 26" xfId="88"/>
    <cellStyle name="一般 2 27" xfId="89"/>
    <cellStyle name="一般 2 28" xfId="90"/>
    <cellStyle name="一般 2 29" xfId="91"/>
    <cellStyle name="一般 2 3" xfId="92"/>
    <cellStyle name="一般 2 30" xfId="93"/>
    <cellStyle name="一般 2 31" xfId="94"/>
    <cellStyle name="一般 2 4" xfId="95"/>
    <cellStyle name="一般 2 5" xfId="96"/>
    <cellStyle name="一般 2 6" xfId="97"/>
    <cellStyle name="一般 2 7" xfId="98"/>
    <cellStyle name="一般 2 8" xfId="99"/>
    <cellStyle name="一般 2 9" xfId="100"/>
    <cellStyle name="一般 2_103--黏貼-登記簿" xfId="101"/>
    <cellStyle name="一般 3 10" xfId="102"/>
    <cellStyle name="一般 3 11" xfId="103"/>
    <cellStyle name="一般 3 12" xfId="104"/>
    <cellStyle name="一般 3 13" xfId="105"/>
    <cellStyle name="一般 3 14" xfId="106"/>
    <cellStyle name="一般 3 15" xfId="107"/>
    <cellStyle name="一般 3 16" xfId="108"/>
    <cellStyle name="一般 3 17" xfId="109"/>
    <cellStyle name="一般 3 18" xfId="110"/>
    <cellStyle name="一般 3 19" xfId="111"/>
    <cellStyle name="一般 3 2" xfId="112"/>
    <cellStyle name="一般 3 20" xfId="113"/>
    <cellStyle name="一般 3 21" xfId="114"/>
    <cellStyle name="一般 3 22" xfId="115"/>
    <cellStyle name="一般 3 23" xfId="116"/>
    <cellStyle name="一般 3 24" xfId="117"/>
    <cellStyle name="一般 3 25" xfId="118"/>
    <cellStyle name="一般 3 26" xfId="119"/>
    <cellStyle name="一般 3 3" xfId="120"/>
    <cellStyle name="一般 3 4" xfId="121"/>
    <cellStyle name="一般 3 5" xfId="122"/>
    <cellStyle name="一般 3 6" xfId="123"/>
    <cellStyle name="一般 3 7" xfId="124"/>
    <cellStyle name="一般 3 8" xfId="125"/>
    <cellStyle name="一般 3 9" xfId="126"/>
    <cellStyle name="一般 4 10" xfId="127"/>
    <cellStyle name="一般 4 11" xfId="128"/>
    <cellStyle name="一般 4 12" xfId="129"/>
    <cellStyle name="一般 4 13" xfId="130"/>
    <cellStyle name="一般 4 14" xfId="131"/>
    <cellStyle name="一般 4 15" xfId="132"/>
    <cellStyle name="一般 4 16" xfId="133"/>
    <cellStyle name="一般 4 17" xfId="134"/>
    <cellStyle name="一般 4 18" xfId="135"/>
    <cellStyle name="一般 4 19" xfId="136"/>
    <cellStyle name="一般 4 2" xfId="137"/>
    <cellStyle name="一般 4 20" xfId="138"/>
    <cellStyle name="一般 4 21" xfId="139"/>
    <cellStyle name="一般 4 22" xfId="140"/>
    <cellStyle name="一般 4 23" xfId="141"/>
    <cellStyle name="一般 4 24" xfId="142"/>
    <cellStyle name="一般 4 3" xfId="143"/>
    <cellStyle name="一般 4 4" xfId="144"/>
    <cellStyle name="一般 4 5" xfId="145"/>
    <cellStyle name="一般 4 6" xfId="146"/>
    <cellStyle name="一般 4 7" xfId="147"/>
    <cellStyle name="一般 4 8" xfId="148"/>
    <cellStyle name="一般 4 9" xfId="149"/>
    <cellStyle name="一般 5 10" xfId="150"/>
    <cellStyle name="一般 5 11" xfId="151"/>
    <cellStyle name="一般 5 12" xfId="152"/>
    <cellStyle name="一般 5 13" xfId="153"/>
    <cellStyle name="一般 5 14" xfId="154"/>
    <cellStyle name="一般 5 15" xfId="155"/>
    <cellStyle name="一般 5 16" xfId="156"/>
    <cellStyle name="一般 5 17" xfId="157"/>
    <cellStyle name="一般 5 18" xfId="158"/>
    <cellStyle name="一般 5 19" xfId="159"/>
    <cellStyle name="一般 5 2" xfId="160"/>
    <cellStyle name="一般 5 20" xfId="161"/>
    <cellStyle name="一般 5 21" xfId="162"/>
    <cellStyle name="一般 5 3" xfId="163"/>
    <cellStyle name="一般 5 4" xfId="164"/>
    <cellStyle name="一般 5 5" xfId="165"/>
    <cellStyle name="一般 5 6" xfId="166"/>
    <cellStyle name="一般 5 7" xfId="167"/>
    <cellStyle name="一般 5 8" xfId="168"/>
    <cellStyle name="一般 5 9" xfId="169"/>
    <cellStyle name="一般 6 10" xfId="170"/>
    <cellStyle name="一般 6 11" xfId="171"/>
    <cellStyle name="一般 6 12" xfId="172"/>
    <cellStyle name="一般 6 2" xfId="173"/>
    <cellStyle name="一般 6 3" xfId="174"/>
    <cellStyle name="一般 6 4" xfId="175"/>
    <cellStyle name="一般 6 5" xfId="176"/>
    <cellStyle name="一般 6 6" xfId="177"/>
    <cellStyle name="一般 6 7" xfId="178"/>
    <cellStyle name="一般 6 8" xfId="179"/>
    <cellStyle name="一般 6 9" xfId="180"/>
    <cellStyle name="一般 7 10" xfId="181"/>
    <cellStyle name="一般 7 2" xfId="182"/>
    <cellStyle name="一般 7 3" xfId="183"/>
    <cellStyle name="一般 7 4" xfId="184"/>
    <cellStyle name="一般 7 5" xfId="185"/>
    <cellStyle name="一般 7 6" xfId="186"/>
    <cellStyle name="一般 7 7" xfId="187"/>
    <cellStyle name="一般 7 8" xfId="188"/>
    <cellStyle name="一般 7 9" xfId="189"/>
    <cellStyle name="一般 8 2" xfId="190"/>
    <cellStyle name="一般 8 3" xfId="191"/>
    <cellStyle name="一般 8 4" xfId="192"/>
    <cellStyle name="一般 8 5" xfId="193"/>
    <cellStyle name="一般 8 6" xfId="194"/>
    <cellStyle name="一般 8 7" xfId="195"/>
    <cellStyle name="一般 8 8" xfId="196"/>
    <cellStyle name="一般 9 2" xfId="197"/>
    <cellStyle name="一般 9 3" xfId="198"/>
    <cellStyle name="一般 9 4" xfId="199"/>
    <cellStyle name="一般 9 5" xfId="200"/>
    <cellStyle name="一般 9 6" xfId="201"/>
    <cellStyle name="千分位 2" xfId="202"/>
    <cellStyle name="千分位 3" xfId="203"/>
    <cellStyle name="中等 2" xfId="204"/>
    <cellStyle name="合計 2" xfId="205"/>
    <cellStyle name="好 2" xfId="206"/>
    <cellStyle name="計算方式 2" xfId="207"/>
    <cellStyle name="連結的儲存格 2" xfId="208"/>
    <cellStyle name="備註 2" xfId="209"/>
    <cellStyle name="說明文字 2" xfId="210"/>
    <cellStyle name="輔色1 2" xfId="211"/>
    <cellStyle name="輔色2 2" xfId="212"/>
    <cellStyle name="輔色3 2" xfId="213"/>
    <cellStyle name="輔色4 2" xfId="214"/>
    <cellStyle name="輔色5 2" xfId="215"/>
    <cellStyle name="輔色6 2" xfId="216"/>
    <cellStyle name="標題 1 2" xfId="217"/>
    <cellStyle name="標題 2 2" xfId="218"/>
    <cellStyle name="標題 3 2" xfId="219"/>
    <cellStyle name="標題 4 2" xfId="220"/>
    <cellStyle name="標題 5" xfId="221"/>
    <cellStyle name="輸入 2" xfId="222"/>
    <cellStyle name="輸出 2" xfId="223"/>
    <cellStyle name="檢查儲存格 2" xfId="224"/>
    <cellStyle name="壞 2" xfId="225"/>
    <cellStyle name="警告文字 2" xfId="2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609;&#22914;&#26989;&#21209;&#36039;&#26009;/&#21508;&#25215;&#36774;&#35336;&#30059;/&#35506;&#24460;&#36628;&#23566;/107&#23416;&#24180;&#24230;/107-2/107-2&#22283;&#23567;&#35506;&#24460;&#29031;&#39015;/&#32147;&#36027;&#26680;&#23450;&#34920;/107-2&#22283;&#23567;&#35506;&#24460;&#29031;&#39015;&#32147;&#36027;&#26680;&#23450;&#34920;(&#24609;&#22914;0603&#26368;&#26032;&#20316;&#26989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-2經費一覽表(作業用) "/>
      <sheetName val="附件六-費用調查表(表一)"/>
    </sheetNames>
    <sheetDataSet>
      <sheetData sheetId="0"/>
      <sheetData sheetId="1">
        <row r="7">
          <cell r="E7" t="str">
            <v>601明禮國小</v>
          </cell>
          <cell r="F7" t="str">
            <v>一般</v>
          </cell>
          <cell r="G7">
            <v>7</v>
          </cell>
          <cell r="H7">
            <v>7</v>
          </cell>
          <cell r="I7">
            <v>3</v>
          </cell>
          <cell r="J7">
            <v>1</v>
          </cell>
          <cell r="K7">
            <v>15</v>
          </cell>
          <cell r="L7">
            <v>15</v>
          </cell>
          <cell r="M7">
            <v>196560</v>
          </cell>
          <cell r="N7">
            <v>311040</v>
          </cell>
          <cell r="O7">
            <v>45360</v>
          </cell>
          <cell r="P7">
            <v>552960</v>
          </cell>
          <cell r="Q7">
            <v>17280</v>
          </cell>
          <cell r="R7">
            <v>21794</v>
          </cell>
          <cell r="S7">
            <v>11528</v>
          </cell>
          <cell r="T7">
            <v>154366</v>
          </cell>
          <cell r="U7">
            <v>9188</v>
          </cell>
          <cell r="V7">
            <v>13770</v>
          </cell>
          <cell r="W7">
            <v>253958</v>
          </cell>
          <cell r="X7">
            <v>105866</v>
          </cell>
          <cell r="Y7">
            <v>44003</v>
          </cell>
          <cell r="Z7">
            <v>87814</v>
          </cell>
          <cell r="AA7">
            <v>152374</v>
          </cell>
        </row>
        <row r="8">
          <cell r="E8" t="str">
            <v>602明義國小</v>
          </cell>
          <cell r="F8" t="str">
            <v>一般</v>
          </cell>
          <cell r="G8">
            <v>7</v>
          </cell>
          <cell r="H8">
            <v>3</v>
          </cell>
          <cell r="I8">
            <v>6</v>
          </cell>
          <cell r="J8">
            <v>1</v>
          </cell>
          <cell r="K8">
            <v>35</v>
          </cell>
          <cell r="L8">
            <v>44</v>
          </cell>
          <cell r="M8">
            <v>556920</v>
          </cell>
          <cell r="N8">
            <v>1226880</v>
          </cell>
          <cell r="O8">
            <v>128520</v>
          </cell>
          <cell r="P8">
            <v>1912320</v>
          </cell>
          <cell r="Q8">
            <v>59760</v>
          </cell>
          <cell r="R8">
            <v>0</v>
          </cell>
          <cell r="S8">
            <v>0</v>
          </cell>
          <cell r="T8">
            <v>334224</v>
          </cell>
          <cell r="U8">
            <v>0</v>
          </cell>
          <cell r="V8">
            <v>11016</v>
          </cell>
          <cell r="W8">
            <v>547171</v>
          </cell>
          <cell r="X8">
            <v>809114</v>
          </cell>
          <cell r="Y8">
            <v>153037</v>
          </cell>
          <cell r="Z8">
            <v>207853</v>
          </cell>
          <cell r="AA8">
            <v>328302</v>
          </cell>
        </row>
        <row r="9">
          <cell r="E9" t="str">
            <v>603明廉國小</v>
          </cell>
          <cell r="F9" t="str">
            <v>一般</v>
          </cell>
          <cell r="G9">
            <v>7</v>
          </cell>
          <cell r="H9">
            <v>10</v>
          </cell>
          <cell r="I9">
            <v>3</v>
          </cell>
          <cell r="J9">
            <v>1</v>
          </cell>
          <cell r="K9">
            <v>52</v>
          </cell>
          <cell r="L9">
            <v>62</v>
          </cell>
          <cell r="M9">
            <v>345280</v>
          </cell>
          <cell r="N9">
            <v>599040</v>
          </cell>
          <cell r="O9">
            <v>79680</v>
          </cell>
          <cell r="P9">
            <v>1024000</v>
          </cell>
          <cell r="Q9">
            <v>32000</v>
          </cell>
          <cell r="R9">
            <v>45244</v>
          </cell>
          <cell r="S9">
            <v>24160</v>
          </cell>
          <cell r="T9">
            <v>228637</v>
          </cell>
          <cell r="U9">
            <v>7063</v>
          </cell>
          <cell r="V9">
            <v>27566</v>
          </cell>
          <cell r="W9">
            <v>578381</v>
          </cell>
          <cell r="X9">
            <v>169109</v>
          </cell>
          <cell r="Y9">
            <v>69582</v>
          </cell>
          <cell r="Z9">
            <v>203787</v>
          </cell>
          <cell r="AA9">
            <v>347028</v>
          </cell>
        </row>
        <row r="10">
          <cell r="E10" t="str">
            <v>604明恥國小</v>
          </cell>
          <cell r="F10" t="str">
            <v>一般</v>
          </cell>
          <cell r="G10">
            <v>3</v>
          </cell>
          <cell r="H10">
            <v>1</v>
          </cell>
          <cell r="I10">
            <v>2</v>
          </cell>
          <cell r="J10">
            <v>0</v>
          </cell>
          <cell r="K10">
            <v>45</v>
          </cell>
          <cell r="L10">
            <v>37</v>
          </cell>
          <cell r="M10">
            <v>177840</v>
          </cell>
          <cell r="N10">
            <v>236160</v>
          </cell>
          <cell r="O10">
            <v>41040</v>
          </cell>
          <cell r="P10">
            <v>455040</v>
          </cell>
          <cell r="Q10">
            <v>14220</v>
          </cell>
          <cell r="R10">
            <v>0</v>
          </cell>
          <cell r="S10">
            <v>0</v>
          </cell>
          <cell r="T10">
            <v>40487</v>
          </cell>
          <cell r="U10">
            <v>476</v>
          </cell>
          <cell r="V10">
            <v>3068</v>
          </cell>
          <cell r="W10">
            <v>339541</v>
          </cell>
          <cell r="X10">
            <v>23750</v>
          </cell>
          <cell r="Y10">
            <v>24439</v>
          </cell>
          <cell r="Z10">
            <v>132749</v>
          </cell>
          <cell r="AA10">
            <v>203724</v>
          </cell>
        </row>
        <row r="11">
          <cell r="E11" t="str">
            <v>605中正國小</v>
          </cell>
          <cell r="F11" t="str">
            <v>一般</v>
          </cell>
          <cell r="G11">
            <v>8</v>
          </cell>
          <cell r="H11">
            <v>5</v>
          </cell>
          <cell r="I11">
            <v>1</v>
          </cell>
          <cell r="J11">
            <v>2</v>
          </cell>
          <cell r="K11">
            <v>69</v>
          </cell>
          <cell r="L11">
            <v>57</v>
          </cell>
          <cell r="M11">
            <v>936000</v>
          </cell>
          <cell r="N11">
            <v>714240</v>
          </cell>
          <cell r="O11">
            <v>216000</v>
          </cell>
          <cell r="P11">
            <v>1866240</v>
          </cell>
          <cell r="Q11">
            <v>58320</v>
          </cell>
          <cell r="R11">
            <v>42062</v>
          </cell>
          <cell r="S11">
            <v>30543</v>
          </cell>
          <cell r="T11">
            <v>638340</v>
          </cell>
          <cell r="U11" t="str">
            <v>-</v>
          </cell>
          <cell r="V11">
            <v>53688</v>
          </cell>
          <cell r="W11">
            <v>596048</v>
          </cell>
          <cell r="X11">
            <v>469847</v>
          </cell>
          <cell r="Y11">
            <v>76902</v>
          </cell>
          <cell r="Z11">
            <v>184732</v>
          </cell>
          <cell r="AA11">
            <v>357628</v>
          </cell>
        </row>
        <row r="12">
          <cell r="E12" t="str">
            <v>606信義國小</v>
          </cell>
          <cell r="F12" t="str">
            <v>一般</v>
          </cell>
          <cell r="G12">
            <v>6</v>
          </cell>
          <cell r="H12">
            <v>1</v>
          </cell>
          <cell r="I12">
            <v>0</v>
          </cell>
          <cell r="J12">
            <v>0</v>
          </cell>
          <cell r="K12">
            <v>13</v>
          </cell>
          <cell r="L12">
            <v>9</v>
          </cell>
          <cell r="M12">
            <v>42120</v>
          </cell>
          <cell r="N12">
            <v>69120</v>
          </cell>
          <cell r="O12">
            <v>9720</v>
          </cell>
          <cell r="P12">
            <v>120960</v>
          </cell>
          <cell r="Q12">
            <v>3780</v>
          </cell>
          <cell r="R12">
            <v>3800</v>
          </cell>
          <cell r="S12">
            <v>2900</v>
          </cell>
          <cell r="T12">
            <v>0</v>
          </cell>
          <cell r="U12">
            <v>0</v>
          </cell>
          <cell r="V12">
            <v>0</v>
          </cell>
          <cell r="W12">
            <v>53953</v>
          </cell>
          <cell r="X12">
            <v>0</v>
          </cell>
          <cell r="Y12">
            <v>67764</v>
          </cell>
          <cell r="Z12">
            <v>21582</v>
          </cell>
          <cell r="AA12">
            <v>32371</v>
          </cell>
        </row>
        <row r="13">
          <cell r="E13" t="str">
            <v>607復興國小</v>
          </cell>
          <cell r="F13" t="str">
            <v>一般</v>
          </cell>
          <cell r="G13">
            <v>4</v>
          </cell>
          <cell r="H13">
            <v>5</v>
          </cell>
          <cell r="I13">
            <v>0</v>
          </cell>
          <cell r="J13">
            <v>0</v>
          </cell>
          <cell r="K13">
            <v>12</v>
          </cell>
          <cell r="L13">
            <v>12</v>
          </cell>
          <cell r="M13">
            <v>46800</v>
          </cell>
          <cell r="N13">
            <v>63360</v>
          </cell>
          <cell r="O13">
            <v>10800</v>
          </cell>
          <cell r="P13">
            <v>120960</v>
          </cell>
          <cell r="Q13">
            <v>3780</v>
          </cell>
          <cell r="R13">
            <v>34308</v>
          </cell>
          <cell r="S13">
            <v>16488</v>
          </cell>
          <cell r="T13">
            <v>23893</v>
          </cell>
          <cell r="U13">
            <v>8520</v>
          </cell>
          <cell r="V13">
            <v>3413</v>
          </cell>
          <cell r="W13">
            <v>106503</v>
          </cell>
          <cell r="X13">
            <v>34338</v>
          </cell>
          <cell r="Y13">
            <v>0</v>
          </cell>
          <cell r="Z13">
            <v>39189</v>
          </cell>
          <cell r="AA13">
            <v>63901</v>
          </cell>
        </row>
        <row r="14">
          <cell r="E14" t="str">
            <v>608中華國小</v>
          </cell>
          <cell r="F14" t="str">
            <v>一般</v>
          </cell>
          <cell r="G14">
            <v>1</v>
          </cell>
          <cell r="H14">
            <v>4</v>
          </cell>
          <cell r="I14">
            <v>5</v>
          </cell>
          <cell r="J14">
            <v>0</v>
          </cell>
          <cell r="K14">
            <v>41</v>
          </cell>
          <cell r="L14">
            <v>32</v>
          </cell>
          <cell r="M14">
            <v>196560</v>
          </cell>
          <cell r="N14">
            <v>328320</v>
          </cell>
          <cell r="O14">
            <v>45360</v>
          </cell>
          <cell r="P14">
            <v>570240</v>
          </cell>
          <cell r="Q14">
            <v>17820</v>
          </cell>
          <cell r="R14">
            <v>13635</v>
          </cell>
          <cell r="S14">
            <v>6756</v>
          </cell>
          <cell r="T14">
            <v>59496</v>
          </cell>
          <cell r="U14">
            <v>1844</v>
          </cell>
          <cell r="V14">
            <v>7287</v>
          </cell>
          <cell r="W14">
            <v>346263</v>
          </cell>
          <cell r="X14">
            <v>84948</v>
          </cell>
          <cell r="Y14">
            <v>72373</v>
          </cell>
          <cell r="Z14">
            <v>131219</v>
          </cell>
          <cell r="AA14">
            <v>207757</v>
          </cell>
        </row>
        <row r="15">
          <cell r="E15" t="str">
            <v>609忠孝國小</v>
          </cell>
          <cell r="F15" t="str">
            <v>一般</v>
          </cell>
          <cell r="G15">
            <v>8</v>
          </cell>
          <cell r="H15">
            <v>14</v>
          </cell>
          <cell r="I15">
            <v>1</v>
          </cell>
          <cell r="J15">
            <v>0</v>
          </cell>
          <cell r="K15">
            <v>34</v>
          </cell>
          <cell r="L15">
            <v>27</v>
          </cell>
          <cell r="M15">
            <v>302640</v>
          </cell>
          <cell r="N15">
            <v>535680</v>
          </cell>
          <cell r="O15">
            <v>69840</v>
          </cell>
          <cell r="P15">
            <v>908160</v>
          </cell>
          <cell r="Q15">
            <v>28380</v>
          </cell>
          <cell r="R15">
            <v>45632</v>
          </cell>
          <cell r="S15">
            <v>25515</v>
          </cell>
          <cell r="T15">
            <v>296315</v>
          </cell>
          <cell r="U15">
            <v>0</v>
          </cell>
          <cell r="V15">
            <v>10043</v>
          </cell>
          <cell r="W15">
            <v>346325</v>
          </cell>
          <cell r="X15">
            <v>222054</v>
          </cell>
          <cell r="Y15">
            <v>73140</v>
          </cell>
          <cell r="Z15">
            <v>128487</v>
          </cell>
          <cell r="AA15">
            <v>207795</v>
          </cell>
        </row>
        <row r="16">
          <cell r="E16" t="str">
            <v>610北濱國小</v>
          </cell>
          <cell r="F16" t="str">
            <v>一般</v>
          </cell>
          <cell r="G16">
            <v>2</v>
          </cell>
          <cell r="H16">
            <v>1</v>
          </cell>
          <cell r="I16">
            <v>0</v>
          </cell>
          <cell r="J16">
            <v>1</v>
          </cell>
          <cell r="K16">
            <v>5</v>
          </cell>
          <cell r="L16">
            <v>7</v>
          </cell>
          <cell r="M16">
            <v>32760</v>
          </cell>
          <cell r="N16">
            <v>63360</v>
          </cell>
          <cell r="O16">
            <v>7560</v>
          </cell>
          <cell r="P16">
            <v>103680</v>
          </cell>
          <cell r="Q16">
            <v>3240</v>
          </cell>
          <cell r="R16">
            <v>3420</v>
          </cell>
          <cell r="S16">
            <v>2664</v>
          </cell>
          <cell r="T16">
            <v>0</v>
          </cell>
          <cell r="U16">
            <v>0</v>
          </cell>
          <cell r="V16">
            <v>0</v>
          </cell>
          <cell r="W16">
            <v>18566</v>
          </cell>
          <cell r="X16">
            <v>86874</v>
          </cell>
          <cell r="Y16">
            <v>0</v>
          </cell>
          <cell r="Z16">
            <v>7427</v>
          </cell>
          <cell r="AA16">
            <v>11139</v>
          </cell>
        </row>
        <row r="17">
          <cell r="E17" t="str">
            <v>611鑄強國小</v>
          </cell>
          <cell r="F17" t="str">
            <v>一般</v>
          </cell>
          <cell r="G17">
            <v>5</v>
          </cell>
          <cell r="H17">
            <v>7</v>
          </cell>
          <cell r="I17">
            <v>2</v>
          </cell>
          <cell r="J17">
            <v>0</v>
          </cell>
          <cell r="K17">
            <v>38</v>
          </cell>
          <cell r="L17">
            <v>53</v>
          </cell>
          <cell r="M17">
            <v>140400</v>
          </cell>
          <cell r="N17">
            <v>293760</v>
          </cell>
          <cell r="O17">
            <v>32400</v>
          </cell>
          <cell r="P17">
            <v>466560</v>
          </cell>
          <cell r="Q17">
            <v>14580</v>
          </cell>
          <cell r="R17">
            <v>0</v>
          </cell>
          <cell r="S17">
            <v>0</v>
          </cell>
          <cell r="T17">
            <v>0</v>
          </cell>
          <cell r="U17">
            <v>16922</v>
          </cell>
          <cell r="V17">
            <v>0</v>
          </cell>
          <cell r="W17">
            <v>163209</v>
          </cell>
          <cell r="X17">
            <v>285525</v>
          </cell>
          <cell r="Y17">
            <v>0</v>
          </cell>
          <cell r="Z17">
            <v>65284</v>
          </cell>
          <cell r="AA17">
            <v>97925</v>
          </cell>
        </row>
        <row r="18">
          <cell r="E18" t="str">
            <v>612國福國小</v>
          </cell>
          <cell r="F18" t="str">
            <v>一般</v>
          </cell>
          <cell r="G18">
            <v>1</v>
          </cell>
          <cell r="H18">
            <v>4</v>
          </cell>
          <cell r="I18">
            <v>1</v>
          </cell>
          <cell r="J18">
            <v>0</v>
          </cell>
          <cell r="K18">
            <v>4</v>
          </cell>
          <cell r="L18">
            <v>9</v>
          </cell>
          <cell r="M18">
            <v>39000</v>
          </cell>
          <cell r="N18">
            <v>28800</v>
          </cell>
          <cell r="O18">
            <v>9000</v>
          </cell>
          <cell r="P18">
            <v>76800</v>
          </cell>
          <cell r="Q18">
            <v>2400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45838</v>
          </cell>
          <cell r="X18">
            <v>0</v>
          </cell>
          <cell r="Y18">
            <v>24359</v>
          </cell>
          <cell r="Z18">
            <v>18336</v>
          </cell>
          <cell r="AA18">
            <v>27502</v>
          </cell>
        </row>
        <row r="19">
          <cell r="E19" t="str">
            <v>613新城國小</v>
          </cell>
          <cell r="F19" t="str">
            <v>一般</v>
          </cell>
          <cell r="G19">
            <v>7</v>
          </cell>
          <cell r="H19">
            <v>5</v>
          </cell>
          <cell r="I19">
            <v>0</v>
          </cell>
          <cell r="J19">
            <v>0</v>
          </cell>
          <cell r="K19">
            <v>52</v>
          </cell>
          <cell r="L19">
            <v>39</v>
          </cell>
          <cell r="M19">
            <v>156000</v>
          </cell>
          <cell r="N19">
            <v>0</v>
          </cell>
          <cell r="O19">
            <v>36000</v>
          </cell>
          <cell r="P19">
            <v>192000</v>
          </cell>
          <cell r="Q19">
            <v>6000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135663</v>
          </cell>
          <cell r="X19">
            <v>0</v>
          </cell>
          <cell r="Y19">
            <v>26336</v>
          </cell>
          <cell r="Z19">
            <v>54266</v>
          </cell>
          <cell r="AA19">
            <v>81397</v>
          </cell>
        </row>
        <row r="20">
          <cell r="E20" t="str">
            <v>614北埔國小</v>
          </cell>
          <cell r="F20" t="str">
            <v>一般</v>
          </cell>
          <cell r="G20">
            <v>3</v>
          </cell>
          <cell r="H20">
            <v>0</v>
          </cell>
          <cell r="I20">
            <v>1</v>
          </cell>
          <cell r="J20">
            <v>1</v>
          </cell>
          <cell r="K20">
            <v>69</v>
          </cell>
          <cell r="L20">
            <v>78</v>
          </cell>
          <cell r="M20">
            <v>252720</v>
          </cell>
          <cell r="N20">
            <v>183040</v>
          </cell>
          <cell r="O20">
            <v>58320</v>
          </cell>
          <cell r="P20">
            <v>494080</v>
          </cell>
          <cell r="Q20">
            <v>15440</v>
          </cell>
          <cell r="R20">
            <v>7804</v>
          </cell>
          <cell r="S20">
            <v>3240</v>
          </cell>
          <cell r="T20">
            <v>38982</v>
          </cell>
          <cell r="U20">
            <v>506</v>
          </cell>
          <cell r="V20">
            <v>4964</v>
          </cell>
          <cell r="W20">
            <v>372668</v>
          </cell>
          <cell r="X20">
            <v>46497</v>
          </cell>
          <cell r="Y20">
            <v>4089</v>
          </cell>
          <cell r="Z20">
            <v>144104</v>
          </cell>
          <cell r="AA20">
            <v>223600</v>
          </cell>
        </row>
        <row r="21">
          <cell r="E21" t="str">
            <v>615康樂國小</v>
          </cell>
          <cell r="F21" t="str">
            <v>一般</v>
          </cell>
          <cell r="G21">
            <v>3</v>
          </cell>
          <cell r="H21">
            <v>2</v>
          </cell>
          <cell r="I21">
            <v>0</v>
          </cell>
          <cell r="J21">
            <v>0</v>
          </cell>
          <cell r="K21">
            <v>21</v>
          </cell>
          <cell r="L21">
            <v>18</v>
          </cell>
          <cell r="M21">
            <v>48620</v>
          </cell>
          <cell r="N21">
            <v>92480</v>
          </cell>
          <cell r="O21">
            <v>11220</v>
          </cell>
          <cell r="P21">
            <v>152320</v>
          </cell>
          <cell r="Q21">
            <v>4760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139570</v>
          </cell>
          <cell r="X21">
            <v>0</v>
          </cell>
          <cell r="Y21">
            <v>6290</v>
          </cell>
          <cell r="Z21">
            <v>55828</v>
          </cell>
          <cell r="AA21">
            <v>83742</v>
          </cell>
        </row>
        <row r="22">
          <cell r="E22" t="str">
            <v>616嘉里國小</v>
          </cell>
          <cell r="F22" t="str">
            <v>一般</v>
          </cell>
          <cell r="G22">
            <v>2</v>
          </cell>
          <cell r="H22">
            <v>3</v>
          </cell>
          <cell r="I22">
            <v>3</v>
          </cell>
          <cell r="J22">
            <v>0</v>
          </cell>
          <cell r="K22">
            <v>16</v>
          </cell>
          <cell r="L22">
            <v>12</v>
          </cell>
          <cell r="M22">
            <v>47580</v>
          </cell>
          <cell r="N22">
            <v>38400</v>
          </cell>
          <cell r="O22">
            <v>10980</v>
          </cell>
          <cell r="P22">
            <v>96960</v>
          </cell>
          <cell r="Q22">
            <v>3030</v>
          </cell>
          <cell r="R22">
            <v>0</v>
          </cell>
          <cell r="S22">
            <v>0</v>
          </cell>
          <cell r="T22">
            <v>0</v>
          </cell>
          <cell r="U22">
            <v>2880</v>
          </cell>
          <cell r="V22">
            <v>0</v>
          </cell>
          <cell r="W22">
            <v>71044</v>
          </cell>
          <cell r="X22">
            <v>9310</v>
          </cell>
          <cell r="Y22">
            <v>8653</v>
          </cell>
          <cell r="Z22">
            <v>28418</v>
          </cell>
          <cell r="AA22">
            <v>42626</v>
          </cell>
        </row>
        <row r="23">
          <cell r="E23" t="str">
            <v>617吉安國小</v>
          </cell>
          <cell r="F23" t="str">
            <v>一般</v>
          </cell>
          <cell r="G23">
            <v>4</v>
          </cell>
          <cell r="H23">
            <v>1</v>
          </cell>
          <cell r="I23">
            <v>1</v>
          </cell>
          <cell r="J23">
            <v>2</v>
          </cell>
          <cell r="K23">
            <v>33</v>
          </cell>
          <cell r="L23">
            <v>22</v>
          </cell>
          <cell r="M23">
            <v>126360</v>
          </cell>
          <cell r="N23">
            <v>144000</v>
          </cell>
          <cell r="O23">
            <v>29160</v>
          </cell>
          <cell r="P23">
            <v>299520</v>
          </cell>
          <cell r="Q23">
            <v>9360</v>
          </cell>
          <cell r="R23">
            <v>80</v>
          </cell>
          <cell r="S23">
            <v>4050</v>
          </cell>
          <cell r="T23">
            <v>11592</v>
          </cell>
          <cell r="U23">
            <v>0</v>
          </cell>
          <cell r="V23">
            <v>7728</v>
          </cell>
          <cell r="W23">
            <v>189324</v>
          </cell>
          <cell r="X23">
            <v>72787</v>
          </cell>
          <cell r="Y23">
            <v>10142</v>
          </cell>
          <cell r="Z23">
            <v>68002</v>
          </cell>
          <cell r="AA23">
            <v>113594</v>
          </cell>
        </row>
        <row r="24">
          <cell r="E24" t="str">
            <v>618宜昌國小</v>
          </cell>
          <cell r="F24" t="str">
            <v>一般</v>
          </cell>
          <cell r="G24">
            <v>14</v>
          </cell>
          <cell r="H24">
            <v>8</v>
          </cell>
          <cell r="I24">
            <v>7</v>
          </cell>
          <cell r="J24">
            <v>6</v>
          </cell>
          <cell r="K24">
            <v>138</v>
          </cell>
          <cell r="L24">
            <v>109</v>
          </cell>
          <cell r="M24">
            <v>782080</v>
          </cell>
          <cell r="N24">
            <v>1402240</v>
          </cell>
          <cell r="O24">
            <v>180480</v>
          </cell>
          <cell r="P24">
            <v>2364800</v>
          </cell>
          <cell r="Q24">
            <v>73900</v>
          </cell>
          <cell r="R24">
            <v>182200</v>
          </cell>
          <cell r="S24">
            <v>88500</v>
          </cell>
          <cell r="T24">
            <v>514903</v>
          </cell>
          <cell r="U24">
            <v>0</v>
          </cell>
          <cell r="V24">
            <v>25287</v>
          </cell>
          <cell r="W24">
            <v>1407040</v>
          </cell>
          <cell r="X24">
            <v>308344</v>
          </cell>
          <cell r="Y24">
            <v>298609</v>
          </cell>
          <cell r="Z24">
            <v>537529</v>
          </cell>
          <cell r="AA24">
            <v>844224</v>
          </cell>
        </row>
        <row r="25">
          <cell r="E25" t="str">
            <v>619北昌國小</v>
          </cell>
          <cell r="F25" t="str">
            <v>一般</v>
          </cell>
          <cell r="G25">
            <v>3</v>
          </cell>
          <cell r="H25">
            <v>7</v>
          </cell>
          <cell r="I25">
            <v>4</v>
          </cell>
          <cell r="J25">
            <v>2</v>
          </cell>
          <cell r="K25">
            <v>31</v>
          </cell>
          <cell r="L25">
            <v>30</v>
          </cell>
          <cell r="M25">
            <v>580320</v>
          </cell>
          <cell r="N25">
            <v>489600</v>
          </cell>
          <cell r="O25">
            <v>133920</v>
          </cell>
          <cell r="P25">
            <v>1203840</v>
          </cell>
          <cell r="Q25">
            <v>37620</v>
          </cell>
          <cell r="R25">
            <v>78442</v>
          </cell>
          <cell r="S25">
            <v>38182</v>
          </cell>
          <cell r="T25">
            <v>471770</v>
          </cell>
          <cell r="U25" t="str">
            <v>-</v>
          </cell>
          <cell r="V25">
            <v>47711</v>
          </cell>
          <cell r="W25">
            <v>301019</v>
          </cell>
          <cell r="X25">
            <v>381123</v>
          </cell>
          <cell r="Y25">
            <v>70236</v>
          </cell>
          <cell r="Z25">
            <v>72697</v>
          </cell>
          <cell r="AA25">
            <v>180611</v>
          </cell>
        </row>
        <row r="26">
          <cell r="E26" t="str">
            <v>620光華國小</v>
          </cell>
          <cell r="F26" t="str">
            <v>非山非市</v>
          </cell>
          <cell r="G26">
            <v>4</v>
          </cell>
          <cell r="H26">
            <v>5</v>
          </cell>
          <cell r="I26">
            <v>2</v>
          </cell>
          <cell r="J26">
            <v>1</v>
          </cell>
          <cell r="K26">
            <v>13</v>
          </cell>
          <cell r="L26">
            <v>14</v>
          </cell>
          <cell r="M26">
            <v>11700</v>
          </cell>
          <cell r="N26">
            <v>52800</v>
          </cell>
          <cell r="O26">
            <v>2700</v>
          </cell>
          <cell r="P26">
            <v>67200</v>
          </cell>
          <cell r="Q26">
            <v>2100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42054</v>
          </cell>
          <cell r="X26">
            <v>24544</v>
          </cell>
          <cell r="Y26">
            <v>0</v>
          </cell>
          <cell r="Z26">
            <v>16822</v>
          </cell>
          <cell r="AA26">
            <v>25232</v>
          </cell>
        </row>
        <row r="27">
          <cell r="E27" t="str">
            <v>621稻香國小</v>
          </cell>
          <cell r="F27" t="str">
            <v>一般</v>
          </cell>
          <cell r="G27">
            <v>3</v>
          </cell>
          <cell r="H27">
            <v>3</v>
          </cell>
          <cell r="I27">
            <v>0</v>
          </cell>
          <cell r="J27">
            <v>0</v>
          </cell>
          <cell r="K27">
            <v>18</v>
          </cell>
          <cell r="L27">
            <v>25</v>
          </cell>
          <cell r="M27">
            <v>133120</v>
          </cell>
          <cell r="N27">
            <v>69440</v>
          </cell>
          <cell r="O27">
            <v>30720</v>
          </cell>
          <cell r="P27">
            <v>233280</v>
          </cell>
          <cell r="Q27">
            <v>7290</v>
          </cell>
          <cell r="R27">
            <v>6360</v>
          </cell>
          <cell r="S27">
            <v>5300</v>
          </cell>
          <cell r="T27">
            <v>43298</v>
          </cell>
          <cell r="U27">
            <v>0</v>
          </cell>
          <cell r="V27">
            <v>2058</v>
          </cell>
          <cell r="W27">
            <v>85088</v>
          </cell>
          <cell r="X27">
            <v>33737</v>
          </cell>
          <cell r="Y27">
            <v>59379</v>
          </cell>
          <cell r="Z27">
            <v>31978</v>
          </cell>
          <cell r="AA27">
            <v>51052</v>
          </cell>
        </row>
        <row r="28">
          <cell r="E28" t="str">
            <v>622南華國小</v>
          </cell>
          <cell r="F28" t="str">
            <v>一般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</v>
          </cell>
          <cell r="L28">
            <v>9</v>
          </cell>
          <cell r="M28">
            <v>32760</v>
          </cell>
          <cell r="N28">
            <v>0</v>
          </cell>
          <cell r="O28">
            <v>7560</v>
          </cell>
          <cell r="P28">
            <v>40320</v>
          </cell>
          <cell r="Q28">
            <v>1260</v>
          </cell>
          <cell r="R28">
            <v>17062</v>
          </cell>
          <cell r="S28">
            <v>9063</v>
          </cell>
          <cell r="T28">
            <v>0</v>
          </cell>
          <cell r="U28">
            <v>0</v>
          </cell>
          <cell r="V28">
            <v>0</v>
          </cell>
          <cell r="W28">
            <v>28369</v>
          </cell>
          <cell r="X28">
            <v>0</v>
          </cell>
          <cell r="Y28">
            <v>31775</v>
          </cell>
          <cell r="Z28">
            <v>11348</v>
          </cell>
          <cell r="AA28">
            <v>17021</v>
          </cell>
        </row>
        <row r="29">
          <cell r="E29" t="str">
            <v>623化仁國小</v>
          </cell>
          <cell r="F29" t="str">
            <v>一般</v>
          </cell>
          <cell r="G29">
            <v>2</v>
          </cell>
          <cell r="H29">
            <v>1</v>
          </cell>
          <cell r="I29">
            <v>0</v>
          </cell>
          <cell r="J29">
            <v>0</v>
          </cell>
          <cell r="K29">
            <v>53</v>
          </cell>
          <cell r="L29">
            <v>42</v>
          </cell>
          <cell r="M29">
            <v>285480</v>
          </cell>
          <cell r="N29">
            <v>86400</v>
          </cell>
          <cell r="O29">
            <v>65880</v>
          </cell>
          <cell r="P29">
            <v>437760</v>
          </cell>
          <cell r="Q29">
            <v>13680</v>
          </cell>
          <cell r="R29">
            <v>23226</v>
          </cell>
          <cell r="S29">
            <v>19100</v>
          </cell>
          <cell r="T29">
            <v>0</v>
          </cell>
          <cell r="U29">
            <v>0</v>
          </cell>
          <cell r="V29">
            <v>0</v>
          </cell>
          <cell r="W29">
            <v>296756</v>
          </cell>
          <cell r="X29">
            <v>0</v>
          </cell>
          <cell r="Y29">
            <v>131121</v>
          </cell>
          <cell r="Z29">
            <v>118703</v>
          </cell>
          <cell r="AA29">
            <v>178053</v>
          </cell>
        </row>
        <row r="30">
          <cell r="E30" t="str">
            <v>624太昌國小</v>
          </cell>
          <cell r="F30" t="str">
            <v>一般</v>
          </cell>
          <cell r="G30">
            <v>7</v>
          </cell>
          <cell r="H30">
            <v>9</v>
          </cell>
          <cell r="I30">
            <v>0</v>
          </cell>
          <cell r="J30">
            <v>0</v>
          </cell>
          <cell r="K30">
            <v>47</v>
          </cell>
          <cell r="L30">
            <v>45</v>
          </cell>
          <cell r="M30">
            <v>405080</v>
          </cell>
          <cell r="N30">
            <v>302720</v>
          </cell>
          <cell r="O30">
            <v>93480</v>
          </cell>
          <cell r="P30">
            <v>801280</v>
          </cell>
          <cell r="Q30">
            <v>25040</v>
          </cell>
          <cell r="R30">
            <v>0</v>
          </cell>
          <cell r="S30">
            <v>0</v>
          </cell>
          <cell r="T30">
            <v>152366</v>
          </cell>
          <cell r="U30">
            <v>0</v>
          </cell>
          <cell r="V30">
            <v>3846</v>
          </cell>
          <cell r="W30">
            <v>351930</v>
          </cell>
          <cell r="X30">
            <v>166152</v>
          </cell>
          <cell r="Y30">
            <v>62378</v>
          </cell>
          <cell r="Z30">
            <v>136926</v>
          </cell>
          <cell r="AA30">
            <v>211158</v>
          </cell>
        </row>
        <row r="31">
          <cell r="E31" t="str">
            <v>625平和國小</v>
          </cell>
          <cell r="F31" t="str">
            <v>偏遠</v>
          </cell>
          <cell r="P31">
            <v>0</v>
          </cell>
        </row>
        <row r="32">
          <cell r="E32" t="str">
            <v>626壽豐國小</v>
          </cell>
          <cell r="F32" t="str">
            <v>一般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9</v>
          </cell>
          <cell r="L32">
            <v>7</v>
          </cell>
          <cell r="M32">
            <v>14040</v>
          </cell>
          <cell r="N32">
            <v>28800</v>
          </cell>
          <cell r="O32">
            <v>3240</v>
          </cell>
          <cell r="P32">
            <v>46080</v>
          </cell>
          <cell r="Q32">
            <v>1440</v>
          </cell>
          <cell r="R32">
            <v>0</v>
          </cell>
          <cell r="S32">
            <v>0</v>
          </cell>
          <cell r="T32">
            <v>0</v>
          </cell>
          <cell r="U32">
            <v>220</v>
          </cell>
          <cell r="V32">
            <v>0</v>
          </cell>
          <cell r="W32">
            <v>44280</v>
          </cell>
          <cell r="X32">
            <v>0</v>
          </cell>
          <cell r="Y32">
            <v>0</v>
          </cell>
          <cell r="Z32">
            <v>17712</v>
          </cell>
          <cell r="AA32">
            <v>26568</v>
          </cell>
        </row>
        <row r="33">
          <cell r="E33" t="str">
            <v>627豐裡國小</v>
          </cell>
          <cell r="F33" t="str">
            <v>偏遠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3</v>
          </cell>
          <cell r="L33">
            <v>5</v>
          </cell>
          <cell r="M33">
            <v>18720</v>
          </cell>
          <cell r="N33">
            <v>23040</v>
          </cell>
          <cell r="O33">
            <v>4320</v>
          </cell>
          <cell r="P33">
            <v>46080</v>
          </cell>
          <cell r="Q33">
            <v>1440</v>
          </cell>
          <cell r="R33">
            <v>0</v>
          </cell>
          <cell r="S33">
            <v>0</v>
          </cell>
          <cell r="T33">
            <v>0</v>
          </cell>
          <cell r="U33">
            <v>1260</v>
          </cell>
          <cell r="V33">
            <v>0</v>
          </cell>
          <cell r="W33">
            <v>16303</v>
          </cell>
          <cell r="X33">
            <v>0</v>
          </cell>
          <cell r="Y33">
            <v>26896</v>
          </cell>
          <cell r="Z33">
            <v>6522</v>
          </cell>
          <cell r="AA33">
            <v>9781</v>
          </cell>
        </row>
        <row r="34">
          <cell r="E34" t="str">
            <v>628豐山國小</v>
          </cell>
          <cell r="F34" t="str">
            <v>偏遠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</v>
          </cell>
          <cell r="L34">
            <v>2</v>
          </cell>
          <cell r="M34">
            <v>17680</v>
          </cell>
          <cell r="N34">
            <v>46080</v>
          </cell>
          <cell r="O34">
            <v>4080</v>
          </cell>
          <cell r="P34">
            <v>67840</v>
          </cell>
          <cell r="Q34">
            <v>2120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6885</v>
          </cell>
          <cell r="X34">
            <v>11475</v>
          </cell>
          <cell r="Y34">
            <v>47520</v>
          </cell>
          <cell r="Z34">
            <v>2754</v>
          </cell>
          <cell r="AA34">
            <v>4131</v>
          </cell>
        </row>
        <row r="35">
          <cell r="E35" t="str">
            <v>629志學國小</v>
          </cell>
          <cell r="F35" t="str">
            <v>一般</v>
          </cell>
          <cell r="G35">
            <v>3</v>
          </cell>
          <cell r="H35">
            <v>1</v>
          </cell>
          <cell r="I35">
            <v>1</v>
          </cell>
          <cell r="J35">
            <v>1</v>
          </cell>
          <cell r="K35">
            <v>14</v>
          </cell>
          <cell r="L35">
            <v>20</v>
          </cell>
          <cell r="M35">
            <v>35360</v>
          </cell>
          <cell r="N35">
            <v>85760</v>
          </cell>
          <cell r="O35">
            <v>8160</v>
          </cell>
          <cell r="P35">
            <v>129280</v>
          </cell>
          <cell r="Q35">
            <v>4040</v>
          </cell>
          <cell r="R35">
            <v>4896</v>
          </cell>
          <cell r="S35">
            <v>3444</v>
          </cell>
          <cell r="T35">
            <v>0</v>
          </cell>
          <cell r="U35">
            <v>9620</v>
          </cell>
          <cell r="V35">
            <v>0</v>
          </cell>
          <cell r="W35">
            <v>52163</v>
          </cell>
          <cell r="X35">
            <v>81332</v>
          </cell>
          <cell r="Y35">
            <v>0</v>
          </cell>
          <cell r="Z35">
            <v>20866</v>
          </cell>
          <cell r="AA35">
            <v>31297</v>
          </cell>
        </row>
        <row r="36">
          <cell r="E36" t="str">
            <v>630月眉國小</v>
          </cell>
          <cell r="F36" t="str">
            <v>偏遠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10</v>
          </cell>
          <cell r="L36">
            <v>9</v>
          </cell>
          <cell r="M36">
            <v>13260</v>
          </cell>
          <cell r="N36">
            <v>21760</v>
          </cell>
          <cell r="O36">
            <v>3060</v>
          </cell>
          <cell r="P36">
            <v>38080</v>
          </cell>
          <cell r="Q36">
            <v>1190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28628</v>
          </cell>
          <cell r="X36">
            <v>0</v>
          </cell>
          <cell r="Y36">
            <v>7582</v>
          </cell>
          <cell r="Z36">
            <v>11452</v>
          </cell>
          <cell r="AA36">
            <v>17176</v>
          </cell>
        </row>
        <row r="37">
          <cell r="E37" t="str">
            <v>631水璉國小</v>
          </cell>
          <cell r="F37" t="str">
            <v>偏遠</v>
          </cell>
          <cell r="G37">
            <v>1</v>
          </cell>
          <cell r="H37">
            <v>0</v>
          </cell>
          <cell r="I37">
            <v>0</v>
          </cell>
          <cell r="J37">
            <v>0</v>
          </cell>
          <cell r="K37">
            <v>8</v>
          </cell>
          <cell r="L37">
            <v>9</v>
          </cell>
          <cell r="M37">
            <v>11700</v>
          </cell>
          <cell r="N37">
            <v>35520</v>
          </cell>
          <cell r="O37">
            <v>2700</v>
          </cell>
          <cell r="P37">
            <v>49920</v>
          </cell>
          <cell r="Q37">
            <v>1560</v>
          </cell>
          <cell r="R37">
            <v>0</v>
          </cell>
          <cell r="S37">
            <v>0</v>
          </cell>
          <cell r="T37">
            <v>12873</v>
          </cell>
          <cell r="U37">
            <v>0</v>
          </cell>
          <cell r="V37">
            <v>0</v>
          </cell>
          <cell r="W37">
            <v>35906</v>
          </cell>
          <cell r="X37">
            <v>0</v>
          </cell>
          <cell r="Y37">
            <v>0</v>
          </cell>
          <cell r="Z37">
            <v>14363</v>
          </cell>
          <cell r="AA37">
            <v>21543</v>
          </cell>
        </row>
        <row r="38">
          <cell r="E38" t="str">
            <v>632溪口國小</v>
          </cell>
          <cell r="F38" t="str">
            <v>偏遠</v>
          </cell>
          <cell r="G38">
            <v>3</v>
          </cell>
          <cell r="H38">
            <v>3</v>
          </cell>
          <cell r="I38">
            <v>0</v>
          </cell>
          <cell r="J38">
            <v>0</v>
          </cell>
          <cell r="K38">
            <v>4</v>
          </cell>
          <cell r="L38">
            <v>9</v>
          </cell>
          <cell r="M38">
            <v>49400</v>
          </cell>
          <cell r="N38">
            <v>19200</v>
          </cell>
          <cell r="O38">
            <v>11400</v>
          </cell>
          <cell r="P38">
            <v>80000</v>
          </cell>
          <cell r="Q38">
            <v>2500</v>
          </cell>
          <cell r="R38">
            <v>7000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78100</v>
          </cell>
          <cell r="X38">
            <v>0</v>
          </cell>
          <cell r="Y38">
            <v>0</v>
          </cell>
          <cell r="Z38">
            <v>31240</v>
          </cell>
          <cell r="AA38">
            <v>46860</v>
          </cell>
        </row>
        <row r="39">
          <cell r="E39" t="str">
            <v>633鳳林國小</v>
          </cell>
          <cell r="F39" t="str">
            <v>一般</v>
          </cell>
          <cell r="G39">
            <v>1</v>
          </cell>
          <cell r="H39">
            <v>1</v>
          </cell>
          <cell r="I39">
            <v>0</v>
          </cell>
          <cell r="J39">
            <v>1</v>
          </cell>
          <cell r="K39">
            <v>11</v>
          </cell>
          <cell r="L39">
            <v>8</v>
          </cell>
          <cell r="M39">
            <v>37440</v>
          </cell>
          <cell r="N39">
            <v>57600</v>
          </cell>
          <cell r="O39">
            <v>8640</v>
          </cell>
          <cell r="P39">
            <v>103680</v>
          </cell>
          <cell r="Q39">
            <v>3240</v>
          </cell>
          <cell r="R39">
            <v>0</v>
          </cell>
          <cell r="S39">
            <v>0</v>
          </cell>
          <cell r="T39">
            <v>0</v>
          </cell>
          <cell r="U39">
            <v>1180</v>
          </cell>
          <cell r="V39">
            <v>0</v>
          </cell>
          <cell r="W39">
            <v>27445</v>
          </cell>
          <cell r="X39">
            <v>70832</v>
          </cell>
          <cell r="Y39">
            <v>0</v>
          </cell>
          <cell r="Z39">
            <v>10978</v>
          </cell>
          <cell r="AA39">
            <v>16467</v>
          </cell>
        </row>
        <row r="40">
          <cell r="E40" t="str">
            <v>634大榮國小</v>
          </cell>
          <cell r="F40" t="str">
            <v>偏遠</v>
          </cell>
          <cell r="G40">
            <v>3</v>
          </cell>
          <cell r="H40">
            <v>6</v>
          </cell>
          <cell r="I40">
            <v>0</v>
          </cell>
          <cell r="J40">
            <v>0</v>
          </cell>
          <cell r="K40">
            <v>3</v>
          </cell>
          <cell r="L40">
            <v>8</v>
          </cell>
          <cell r="M40">
            <v>31200</v>
          </cell>
          <cell r="N40">
            <v>48000</v>
          </cell>
          <cell r="O40">
            <v>7200</v>
          </cell>
          <cell r="P40">
            <v>86400</v>
          </cell>
          <cell r="Q40">
            <v>2700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43070</v>
          </cell>
          <cell r="X40">
            <v>0</v>
          </cell>
          <cell r="Y40">
            <v>38830</v>
          </cell>
          <cell r="Z40">
            <v>17228</v>
          </cell>
          <cell r="AA40">
            <v>25842</v>
          </cell>
        </row>
        <row r="41">
          <cell r="E41" t="str">
            <v>635林榮國小</v>
          </cell>
          <cell r="F41" t="str">
            <v>偏遠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5</v>
          </cell>
          <cell r="L41">
            <v>7</v>
          </cell>
          <cell r="M41">
            <v>45240</v>
          </cell>
          <cell r="N41">
            <v>46080</v>
          </cell>
          <cell r="O41">
            <v>10440</v>
          </cell>
          <cell r="P41">
            <v>101760</v>
          </cell>
          <cell r="Q41">
            <v>3180</v>
          </cell>
          <cell r="R41">
            <v>1500</v>
          </cell>
          <cell r="S41">
            <v>500</v>
          </cell>
          <cell r="T41">
            <v>0</v>
          </cell>
          <cell r="U41">
            <v>0</v>
          </cell>
          <cell r="V41">
            <v>0</v>
          </cell>
          <cell r="W41">
            <v>54244</v>
          </cell>
          <cell r="X41">
            <v>0</v>
          </cell>
          <cell r="Y41">
            <v>42255</v>
          </cell>
          <cell r="Z41">
            <v>21698</v>
          </cell>
          <cell r="AA41">
            <v>32546</v>
          </cell>
        </row>
        <row r="42">
          <cell r="E42" t="str">
            <v>636長橋國小</v>
          </cell>
          <cell r="F42" t="str">
            <v>偏遠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9</v>
          </cell>
          <cell r="L42">
            <v>5</v>
          </cell>
          <cell r="M42">
            <v>60840</v>
          </cell>
          <cell r="N42">
            <v>0</v>
          </cell>
          <cell r="O42">
            <v>14040</v>
          </cell>
          <cell r="P42">
            <v>74880</v>
          </cell>
          <cell r="Q42">
            <v>2340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44213</v>
          </cell>
          <cell r="X42">
            <v>10129</v>
          </cell>
          <cell r="Y42">
            <v>8836</v>
          </cell>
          <cell r="Z42">
            <v>17686</v>
          </cell>
          <cell r="AA42">
            <v>26527</v>
          </cell>
        </row>
        <row r="43">
          <cell r="E43" t="str">
            <v>638北林國小</v>
          </cell>
          <cell r="F43" t="str">
            <v>偏遠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14040</v>
          </cell>
          <cell r="N43">
            <v>51840</v>
          </cell>
          <cell r="O43">
            <v>3240</v>
          </cell>
          <cell r="P43">
            <v>69120</v>
          </cell>
          <cell r="Q43">
            <v>2160</v>
          </cell>
          <cell r="R43">
            <v>0</v>
          </cell>
          <cell r="S43">
            <v>0</v>
          </cell>
          <cell r="T43">
            <v>1215</v>
          </cell>
          <cell r="U43">
            <v>0</v>
          </cell>
          <cell r="V43">
            <v>0</v>
          </cell>
          <cell r="W43">
            <v>29712</v>
          </cell>
          <cell r="X43">
            <v>29957</v>
          </cell>
          <cell r="Y43">
            <v>7155</v>
          </cell>
          <cell r="Z43">
            <v>11885</v>
          </cell>
          <cell r="AA43">
            <v>17827</v>
          </cell>
        </row>
        <row r="44">
          <cell r="E44" t="str">
            <v>639鳳仁國小</v>
          </cell>
          <cell r="F44" t="str">
            <v>偏遠</v>
          </cell>
          <cell r="G44">
            <v>1</v>
          </cell>
          <cell r="H44">
            <v>1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16640</v>
          </cell>
          <cell r="N44">
            <v>40960</v>
          </cell>
          <cell r="O44">
            <v>3840</v>
          </cell>
          <cell r="P44">
            <v>61440</v>
          </cell>
          <cell r="Q44">
            <v>1920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4403</v>
          </cell>
          <cell r="X44">
            <v>42877</v>
          </cell>
          <cell r="Y44">
            <v>12237</v>
          </cell>
          <cell r="Z44">
            <v>1762</v>
          </cell>
          <cell r="AA44">
            <v>2641</v>
          </cell>
        </row>
        <row r="45">
          <cell r="E45" t="str">
            <v>641光復國小</v>
          </cell>
          <cell r="F45" t="str">
            <v>偏遠</v>
          </cell>
          <cell r="P45">
            <v>0</v>
          </cell>
        </row>
        <row r="46">
          <cell r="E46" t="str">
            <v>642太巴塱國小</v>
          </cell>
          <cell r="F46" t="str">
            <v>偏遠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32</v>
          </cell>
          <cell r="L46">
            <v>32</v>
          </cell>
          <cell r="M46">
            <v>37440</v>
          </cell>
          <cell r="N46">
            <v>28800</v>
          </cell>
          <cell r="O46">
            <v>8640</v>
          </cell>
          <cell r="P46">
            <v>74880</v>
          </cell>
          <cell r="Q46">
            <v>2340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68580</v>
          </cell>
          <cell r="X46">
            <v>0</v>
          </cell>
          <cell r="Y46">
            <v>0</v>
          </cell>
          <cell r="Z46">
            <v>27432</v>
          </cell>
          <cell r="AA46">
            <v>41148</v>
          </cell>
        </row>
        <row r="47">
          <cell r="E47" t="str">
            <v>645大進國小</v>
          </cell>
          <cell r="F47" t="str">
            <v>偏遠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9</v>
          </cell>
          <cell r="L47">
            <v>16</v>
          </cell>
          <cell r="M47">
            <v>13260</v>
          </cell>
          <cell r="N47">
            <v>54400</v>
          </cell>
          <cell r="O47">
            <v>3060</v>
          </cell>
          <cell r="P47">
            <v>70720</v>
          </cell>
          <cell r="Q47">
            <v>2210</v>
          </cell>
          <cell r="R47">
            <v>0</v>
          </cell>
          <cell r="S47">
            <v>0</v>
          </cell>
          <cell r="T47">
            <v>1402</v>
          </cell>
          <cell r="U47">
            <v>0</v>
          </cell>
          <cell r="V47">
            <v>350</v>
          </cell>
          <cell r="W47">
            <v>32240</v>
          </cell>
          <cell r="X47">
            <v>36226</v>
          </cell>
          <cell r="Y47">
            <v>0</v>
          </cell>
          <cell r="Z47">
            <v>12546</v>
          </cell>
          <cell r="AA47">
            <v>19344</v>
          </cell>
        </row>
        <row r="48">
          <cell r="E48" t="str">
            <v>647瑞穗國小</v>
          </cell>
          <cell r="F48" t="str">
            <v>偏遠</v>
          </cell>
          <cell r="G48">
            <v>8</v>
          </cell>
          <cell r="H48">
            <v>8</v>
          </cell>
          <cell r="I48">
            <v>0</v>
          </cell>
          <cell r="J48">
            <v>0</v>
          </cell>
          <cell r="K48">
            <v>46</v>
          </cell>
          <cell r="L48">
            <v>40</v>
          </cell>
          <cell r="M48">
            <v>205920</v>
          </cell>
          <cell r="N48">
            <v>46080</v>
          </cell>
          <cell r="O48">
            <v>47520</v>
          </cell>
          <cell r="P48">
            <v>299520</v>
          </cell>
          <cell r="Q48">
            <v>9360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167470</v>
          </cell>
          <cell r="X48">
            <v>0</v>
          </cell>
          <cell r="Y48">
            <v>93888</v>
          </cell>
          <cell r="Z48">
            <v>66988</v>
          </cell>
          <cell r="AA48">
            <v>100482</v>
          </cell>
        </row>
        <row r="49">
          <cell r="E49" t="str">
            <v>648瑞美國小</v>
          </cell>
          <cell r="F49" t="str">
            <v>偏遠</v>
          </cell>
          <cell r="G49">
            <v>2</v>
          </cell>
          <cell r="H49">
            <v>1</v>
          </cell>
          <cell r="I49">
            <v>0</v>
          </cell>
          <cell r="J49">
            <v>0</v>
          </cell>
          <cell r="K49">
            <v>8</v>
          </cell>
          <cell r="L49">
            <v>4</v>
          </cell>
          <cell r="M49">
            <v>28080</v>
          </cell>
          <cell r="N49">
            <v>17280</v>
          </cell>
          <cell r="O49">
            <v>6480</v>
          </cell>
          <cell r="P49">
            <v>51840</v>
          </cell>
          <cell r="Q49">
            <v>1620</v>
          </cell>
          <cell r="R49">
            <v>0</v>
          </cell>
          <cell r="S49">
            <v>0</v>
          </cell>
          <cell r="T49">
            <v>2650</v>
          </cell>
          <cell r="U49">
            <v>13</v>
          </cell>
          <cell r="V49">
            <v>0</v>
          </cell>
          <cell r="W49">
            <v>28059</v>
          </cell>
          <cell r="X49">
            <v>8865</v>
          </cell>
          <cell r="Y49">
            <v>7402</v>
          </cell>
          <cell r="Z49">
            <v>11224</v>
          </cell>
          <cell r="AA49">
            <v>16835</v>
          </cell>
        </row>
        <row r="50">
          <cell r="E50" t="str">
            <v>649鶴岡國小</v>
          </cell>
          <cell r="F50" t="str">
            <v>特偏</v>
          </cell>
          <cell r="G50">
            <v>3</v>
          </cell>
          <cell r="H50">
            <v>1</v>
          </cell>
          <cell r="I50">
            <v>0</v>
          </cell>
          <cell r="J50">
            <v>0</v>
          </cell>
          <cell r="K50">
            <v>6</v>
          </cell>
          <cell r="L50">
            <v>4</v>
          </cell>
          <cell r="M50">
            <v>79560</v>
          </cell>
          <cell r="N50">
            <v>46080</v>
          </cell>
          <cell r="O50">
            <v>18360</v>
          </cell>
          <cell r="P50">
            <v>144000</v>
          </cell>
          <cell r="Q50">
            <v>4500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99990</v>
          </cell>
          <cell r="X50">
            <v>0</v>
          </cell>
          <cell r="Y50">
            <v>30150</v>
          </cell>
          <cell r="Z50">
            <v>39996</v>
          </cell>
          <cell r="AA50">
            <v>59994</v>
          </cell>
        </row>
        <row r="51">
          <cell r="E51" t="str">
            <v>650舞鶴國小</v>
          </cell>
          <cell r="F51" t="str">
            <v>特偏</v>
          </cell>
          <cell r="G51">
            <v>1</v>
          </cell>
          <cell r="H51">
            <v>8</v>
          </cell>
          <cell r="I51">
            <v>0</v>
          </cell>
          <cell r="J51">
            <v>0</v>
          </cell>
          <cell r="K51">
            <v>5</v>
          </cell>
          <cell r="L51">
            <v>6</v>
          </cell>
          <cell r="M51">
            <v>32760</v>
          </cell>
          <cell r="N51">
            <v>34560</v>
          </cell>
          <cell r="O51">
            <v>7560</v>
          </cell>
          <cell r="P51">
            <v>74880</v>
          </cell>
          <cell r="Q51">
            <v>2340</v>
          </cell>
          <cell r="R51">
            <v>0</v>
          </cell>
          <cell r="S51">
            <v>0</v>
          </cell>
          <cell r="T51">
            <v>0</v>
          </cell>
          <cell r="U51">
            <v>5070</v>
          </cell>
          <cell r="V51">
            <v>0</v>
          </cell>
          <cell r="W51">
            <v>37146</v>
          </cell>
          <cell r="X51">
            <v>0</v>
          </cell>
          <cell r="Y51">
            <v>32513</v>
          </cell>
          <cell r="Z51">
            <v>14859</v>
          </cell>
          <cell r="AA51">
            <v>22287</v>
          </cell>
        </row>
        <row r="52">
          <cell r="E52" t="str">
            <v>651奇美國小</v>
          </cell>
          <cell r="F52" t="str">
            <v>極偏</v>
          </cell>
          <cell r="P52">
            <v>0</v>
          </cell>
        </row>
        <row r="53">
          <cell r="E53" t="str">
            <v>652富源國小</v>
          </cell>
          <cell r="F53" t="str">
            <v>偏遠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22</v>
          </cell>
          <cell r="L53">
            <v>17</v>
          </cell>
          <cell r="M53">
            <v>84240</v>
          </cell>
          <cell r="N53">
            <v>51840</v>
          </cell>
          <cell r="O53">
            <v>19440</v>
          </cell>
          <cell r="P53">
            <v>155520</v>
          </cell>
          <cell r="Q53">
            <v>4860</v>
          </cell>
          <cell r="R53">
            <v>0</v>
          </cell>
          <cell r="S53">
            <v>0</v>
          </cell>
          <cell r="T53">
            <v>15472</v>
          </cell>
          <cell r="U53">
            <v>0</v>
          </cell>
          <cell r="V53">
            <v>0</v>
          </cell>
          <cell r="W53">
            <v>118406</v>
          </cell>
          <cell r="X53">
            <v>1944</v>
          </cell>
          <cell r="Y53">
            <v>5115</v>
          </cell>
          <cell r="Z53">
            <v>47363</v>
          </cell>
          <cell r="AA53">
            <v>71043</v>
          </cell>
        </row>
        <row r="54">
          <cell r="E54" t="str">
            <v>653瑞北國小</v>
          </cell>
          <cell r="F54" t="str">
            <v>偏遠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20</v>
          </cell>
          <cell r="L54">
            <v>32</v>
          </cell>
          <cell r="M54">
            <v>15600</v>
          </cell>
          <cell r="N54">
            <v>75840</v>
          </cell>
          <cell r="O54">
            <v>3600</v>
          </cell>
          <cell r="P54">
            <v>95040</v>
          </cell>
          <cell r="Q54">
            <v>2970</v>
          </cell>
          <cell r="R54">
            <v>0</v>
          </cell>
          <cell r="S54">
            <v>0</v>
          </cell>
          <cell r="T54">
            <v>0</v>
          </cell>
          <cell r="U54">
            <v>18095</v>
          </cell>
          <cell r="V54">
            <v>0</v>
          </cell>
          <cell r="W54">
            <v>84362</v>
          </cell>
          <cell r="X54">
            <v>0</v>
          </cell>
          <cell r="Y54">
            <v>10045</v>
          </cell>
          <cell r="Z54">
            <v>33745</v>
          </cell>
          <cell r="AA54">
            <v>50617</v>
          </cell>
        </row>
        <row r="55">
          <cell r="E55" t="str">
            <v>654豐濱國小</v>
          </cell>
          <cell r="F55" t="str">
            <v>特偏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  <cell r="K55">
            <v>12</v>
          </cell>
          <cell r="L55">
            <v>16</v>
          </cell>
          <cell r="M55">
            <v>18720</v>
          </cell>
          <cell r="N55">
            <v>28800</v>
          </cell>
          <cell r="O55">
            <v>4320</v>
          </cell>
          <cell r="P55">
            <v>51840</v>
          </cell>
          <cell r="Q55">
            <v>1620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49140</v>
          </cell>
          <cell r="X55">
            <v>0</v>
          </cell>
          <cell r="Y55">
            <v>0</v>
          </cell>
          <cell r="Z55">
            <v>19656</v>
          </cell>
          <cell r="AA55">
            <v>29484</v>
          </cell>
        </row>
        <row r="56">
          <cell r="E56" t="str">
            <v>655港口國小</v>
          </cell>
          <cell r="F56" t="str">
            <v>極偏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8</v>
          </cell>
          <cell r="L56">
            <v>3</v>
          </cell>
          <cell r="M56">
            <v>37440</v>
          </cell>
          <cell r="N56">
            <v>16320</v>
          </cell>
          <cell r="O56">
            <v>8640</v>
          </cell>
          <cell r="P56">
            <v>62400</v>
          </cell>
          <cell r="Q56">
            <v>1950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55710</v>
          </cell>
          <cell r="X56">
            <v>0</v>
          </cell>
          <cell r="Y56">
            <v>0</v>
          </cell>
          <cell r="Z56">
            <v>22284</v>
          </cell>
          <cell r="AA56">
            <v>33426</v>
          </cell>
        </row>
        <row r="57">
          <cell r="E57" t="str">
            <v>656靜浦國小</v>
          </cell>
          <cell r="F57" t="str">
            <v>極偏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3</v>
          </cell>
          <cell r="M57">
            <v>23400</v>
          </cell>
          <cell r="N57">
            <v>0</v>
          </cell>
          <cell r="O57">
            <v>5400</v>
          </cell>
          <cell r="P57">
            <v>28800</v>
          </cell>
          <cell r="Q57">
            <v>900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24300</v>
          </cell>
          <cell r="X57">
            <v>0</v>
          </cell>
          <cell r="Y57">
            <v>0</v>
          </cell>
          <cell r="Z57">
            <v>9720</v>
          </cell>
          <cell r="AA57">
            <v>14580</v>
          </cell>
        </row>
        <row r="58">
          <cell r="E58" t="str">
            <v>657新社國小</v>
          </cell>
          <cell r="F58" t="str">
            <v>特偏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12</v>
          </cell>
          <cell r="L58">
            <v>12</v>
          </cell>
          <cell r="M58">
            <v>56160</v>
          </cell>
          <cell r="N58">
            <v>0</v>
          </cell>
          <cell r="O58">
            <v>12960</v>
          </cell>
          <cell r="P58">
            <v>69120</v>
          </cell>
          <cell r="Q58">
            <v>2160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58320</v>
          </cell>
          <cell r="X58">
            <v>0</v>
          </cell>
          <cell r="Y58">
            <v>0</v>
          </cell>
          <cell r="Z58">
            <v>23328</v>
          </cell>
          <cell r="AA58">
            <v>34992</v>
          </cell>
        </row>
        <row r="59">
          <cell r="E59" t="str">
            <v>658玉里國小</v>
          </cell>
          <cell r="F59" t="str">
            <v>偏遠</v>
          </cell>
          <cell r="G59">
            <v>4</v>
          </cell>
          <cell r="H59">
            <v>4</v>
          </cell>
          <cell r="I59">
            <v>1</v>
          </cell>
          <cell r="J59">
            <v>1</v>
          </cell>
          <cell r="K59">
            <v>16</v>
          </cell>
          <cell r="L59">
            <v>14</v>
          </cell>
          <cell r="M59">
            <v>126360</v>
          </cell>
          <cell r="N59">
            <v>69120</v>
          </cell>
          <cell r="O59">
            <v>29160</v>
          </cell>
          <cell r="P59">
            <v>224640</v>
          </cell>
          <cell r="Q59">
            <v>7020</v>
          </cell>
          <cell r="R59">
            <v>2371</v>
          </cell>
          <cell r="S59">
            <v>1822</v>
          </cell>
          <cell r="T59">
            <v>39609</v>
          </cell>
          <cell r="U59">
            <v>0</v>
          </cell>
          <cell r="V59">
            <v>0</v>
          </cell>
          <cell r="W59">
            <v>80355</v>
          </cell>
          <cell r="X59">
            <v>71535</v>
          </cell>
          <cell r="Y59">
            <v>15192</v>
          </cell>
          <cell r="Z59">
            <v>32142</v>
          </cell>
          <cell r="AA59">
            <v>48213</v>
          </cell>
        </row>
        <row r="60">
          <cell r="E60" t="str">
            <v>659源城國小</v>
          </cell>
          <cell r="F60" t="str">
            <v>偏遠</v>
          </cell>
          <cell r="P60">
            <v>0</v>
          </cell>
        </row>
        <row r="61">
          <cell r="E61" t="str">
            <v>660樂合國小</v>
          </cell>
          <cell r="F61" t="str">
            <v>特偏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3</v>
          </cell>
          <cell r="L61">
            <v>4</v>
          </cell>
          <cell r="M61">
            <v>33930</v>
          </cell>
          <cell r="N61">
            <v>4640</v>
          </cell>
          <cell r="O61">
            <v>7830</v>
          </cell>
          <cell r="P61">
            <v>46400</v>
          </cell>
          <cell r="Q61">
            <v>1450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40020</v>
          </cell>
          <cell r="X61">
            <v>0</v>
          </cell>
          <cell r="Y61">
            <v>0</v>
          </cell>
          <cell r="Z61">
            <v>16008</v>
          </cell>
          <cell r="AA61">
            <v>24012</v>
          </cell>
        </row>
        <row r="62">
          <cell r="E62" t="str">
            <v>661觀音國小</v>
          </cell>
          <cell r="F62" t="str">
            <v>特偏</v>
          </cell>
          <cell r="G62">
            <v>2</v>
          </cell>
          <cell r="H62">
            <v>3</v>
          </cell>
          <cell r="I62">
            <v>0</v>
          </cell>
          <cell r="J62">
            <v>0</v>
          </cell>
          <cell r="K62">
            <v>5</v>
          </cell>
          <cell r="L62">
            <v>2</v>
          </cell>
          <cell r="M62">
            <v>10140</v>
          </cell>
          <cell r="N62">
            <v>20800</v>
          </cell>
          <cell r="O62">
            <v>2340</v>
          </cell>
          <cell r="P62">
            <v>33280</v>
          </cell>
          <cell r="Q62">
            <v>1040</v>
          </cell>
          <cell r="R62">
            <v>0</v>
          </cell>
          <cell r="S62">
            <v>0</v>
          </cell>
          <cell r="T62">
            <v>0</v>
          </cell>
          <cell r="U62">
            <v>430</v>
          </cell>
          <cell r="V62">
            <v>0</v>
          </cell>
          <cell r="W62">
            <v>28860</v>
          </cell>
          <cell r="X62">
            <v>3120</v>
          </cell>
          <cell r="Y62">
            <v>0</v>
          </cell>
          <cell r="Z62">
            <v>11544</v>
          </cell>
          <cell r="AA62">
            <v>17316</v>
          </cell>
        </row>
        <row r="63">
          <cell r="E63" t="str">
            <v>662三民國小</v>
          </cell>
          <cell r="F63" t="str">
            <v>特偏</v>
          </cell>
          <cell r="P63">
            <v>0</v>
          </cell>
        </row>
        <row r="64">
          <cell r="E64" t="str">
            <v>663春日國小</v>
          </cell>
          <cell r="F64" t="str">
            <v>特偏</v>
          </cell>
          <cell r="G64">
            <v>1</v>
          </cell>
          <cell r="H64">
            <v>0</v>
          </cell>
          <cell r="I64">
            <v>0</v>
          </cell>
          <cell r="J64">
            <v>0</v>
          </cell>
          <cell r="K64">
            <v>12</v>
          </cell>
          <cell r="L64">
            <v>13</v>
          </cell>
          <cell r="M64">
            <v>51480</v>
          </cell>
          <cell r="N64">
            <v>0</v>
          </cell>
          <cell r="O64">
            <v>11880</v>
          </cell>
          <cell r="P64">
            <v>63360</v>
          </cell>
          <cell r="Q64">
            <v>1980</v>
          </cell>
          <cell r="R64">
            <v>0</v>
          </cell>
          <cell r="S64">
            <v>0</v>
          </cell>
          <cell r="T64">
            <v>0</v>
          </cell>
          <cell r="U64">
            <v>10598</v>
          </cell>
          <cell r="V64">
            <v>0</v>
          </cell>
          <cell r="W64">
            <v>43848</v>
          </cell>
          <cell r="X64">
            <v>0</v>
          </cell>
          <cell r="Y64">
            <v>9608</v>
          </cell>
          <cell r="Z64">
            <v>17540</v>
          </cell>
          <cell r="AA64">
            <v>26308</v>
          </cell>
        </row>
        <row r="65">
          <cell r="E65" t="str">
            <v>664德武國小</v>
          </cell>
          <cell r="F65" t="str">
            <v>特偏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4</v>
          </cell>
          <cell r="L65">
            <v>9</v>
          </cell>
          <cell r="M65">
            <v>46800</v>
          </cell>
          <cell r="N65">
            <v>0</v>
          </cell>
          <cell r="O65">
            <v>10800</v>
          </cell>
          <cell r="P65">
            <v>57600</v>
          </cell>
          <cell r="Q65">
            <v>1800</v>
          </cell>
          <cell r="R65">
            <v>0</v>
          </cell>
          <cell r="S65">
            <v>0</v>
          </cell>
          <cell r="T65">
            <v>0</v>
          </cell>
          <cell r="U65">
            <v>520</v>
          </cell>
          <cell r="V65">
            <v>0</v>
          </cell>
          <cell r="W65">
            <v>48600</v>
          </cell>
          <cell r="X65">
            <v>0</v>
          </cell>
          <cell r="Y65">
            <v>0</v>
          </cell>
          <cell r="Z65">
            <v>19440</v>
          </cell>
          <cell r="AA65">
            <v>29160</v>
          </cell>
        </row>
        <row r="66">
          <cell r="E66" t="str">
            <v>665中城國小</v>
          </cell>
          <cell r="F66" t="str">
            <v>偏遠</v>
          </cell>
          <cell r="G66">
            <v>2</v>
          </cell>
          <cell r="H66">
            <v>5</v>
          </cell>
          <cell r="I66">
            <v>1</v>
          </cell>
          <cell r="J66">
            <v>2</v>
          </cell>
          <cell r="K66">
            <v>24</v>
          </cell>
          <cell r="L66">
            <v>28</v>
          </cell>
          <cell r="M66">
            <v>98280</v>
          </cell>
          <cell r="N66">
            <v>161280</v>
          </cell>
          <cell r="O66">
            <v>22680</v>
          </cell>
          <cell r="P66">
            <v>282240</v>
          </cell>
          <cell r="Q66">
            <v>8820</v>
          </cell>
          <cell r="R66">
            <v>0</v>
          </cell>
          <cell r="S66">
            <v>0</v>
          </cell>
          <cell r="T66">
            <v>30994</v>
          </cell>
          <cell r="U66">
            <v>0</v>
          </cell>
          <cell r="V66">
            <v>9537</v>
          </cell>
          <cell r="W66">
            <v>129180</v>
          </cell>
          <cell r="X66">
            <v>108196</v>
          </cell>
          <cell r="Y66">
            <v>0</v>
          </cell>
          <cell r="Z66">
            <v>42135</v>
          </cell>
          <cell r="AA66">
            <v>77508</v>
          </cell>
        </row>
        <row r="67">
          <cell r="E67" t="str">
            <v>666長良國小</v>
          </cell>
          <cell r="F67" t="str">
            <v>特偏</v>
          </cell>
          <cell r="G67">
            <v>3</v>
          </cell>
          <cell r="H67">
            <v>3</v>
          </cell>
          <cell r="I67">
            <v>0</v>
          </cell>
          <cell r="J67">
            <v>0</v>
          </cell>
          <cell r="K67">
            <v>11</v>
          </cell>
          <cell r="L67">
            <v>7</v>
          </cell>
          <cell r="M67">
            <v>32240</v>
          </cell>
          <cell r="N67">
            <v>69120</v>
          </cell>
          <cell r="O67">
            <v>7440</v>
          </cell>
          <cell r="P67">
            <v>108800</v>
          </cell>
          <cell r="Q67">
            <v>3400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80143</v>
          </cell>
          <cell r="X67">
            <v>0</v>
          </cell>
          <cell r="Y67">
            <v>24616</v>
          </cell>
          <cell r="Z67">
            <v>32058</v>
          </cell>
          <cell r="AA67">
            <v>48085</v>
          </cell>
        </row>
        <row r="68">
          <cell r="E68" t="str">
            <v>667大禹國小</v>
          </cell>
          <cell r="F68" t="str">
            <v>偏遠</v>
          </cell>
          <cell r="G68">
            <v>1</v>
          </cell>
          <cell r="H68">
            <v>4</v>
          </cell>
          <cell r="I68">
            <v>0</v>
          </cell>
          <cell r="J68">
            <v>0</v>
          </cell>
          <cell r="K68">
            <v>12</v>
          </cell>
          <cell r="L68">
            <v>7</v>
          </cell>
          <cell r="M68">
            <v>56160</v>
          </cell>
          <cell r="N68">
            <v>0</v>
          </cell>
          <cell r="O68">
            <v>12960</v>
          </cell>
          <cell r="P68">
            <v>69120</v>
          </cell>
          <cell r="Q68">
            <v>2160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35597</v>
          </cell>
          <cell r="X68">
            <v>0</v>
          </cell>
          <cell r="Y68">
            <v>22721</v>
          </cell>
          <cell r="Z68">
            <v>14239</v>
          </cell>
          <cell r="AA68">
            <v>21358</v>
          </cell>
        </row>
        <row r="69">
          <cell r="E69" t="str">
            <v>668松浦國小</v>
          </cell>
          <cell r="F69" t="str">
            <v>特偏</v>
          </cell>
          <cell r="G69">
            <v>3</v>
          </cell>
          <cell r="H69">
            <v>4</v>
          </cell>
          <cell r="I69">
            <v>0</v>
          </cell>
          <cell r="J69">
            <v>0</v>
          </cell>
          <cell r="K69">
            <v>20</v>
          </cell>
          <cell r="L69">
            <v>16</v>
          </cell>
          <cell r="M69">
            <v>14040</v>
          </cell>
          <cell r="N69">
            <v>51840</v>
          </cell>
          <cell r="O69">
            <v>3240</v>
          </cell>
          <cell r="P69">
            <v>69120</v>
          </cell>
          <cell r="Q69">
            <v>2160</v>
          </cell>
          <cell r="R69">
            <v>0</v>
          </cell>
          <cell r="S69">
            <v>0</v>
          </cell>
          <cell r="T69">
            <v>0</v>
          </cell>
          <cell r="U69">
            <v>3090</v>
          </cell>
          <cell r="V69">
            <v>0</v>
          </cell>
          <cell r="W69">
            <v>56673</v>
          </cell>
          <cell r="X69">
            <v>0</v>
          </cell>
          <cell r="Y69">
            <v>11361</v>
          </cell>
          <cell r="Z69">
            <v>22670</v>
          </cell>
          <cell r="AA69">
            <v>34003</v>
          </cell>
        </row>
        <row r="70">
          <cell r="E70" t="str">
            <v>669高寮國小</v>
          </cell>
          <cell r="F70" t="str">
            <v>特偏</v>
          </cell>
          <cell r="G70">
            <v>2</v>
          </cell>
          <cell r="H70">
            <v>3</v>
          </cell>
          <cell r="I70">
            <v>0</v>
          </cell>
          <cell r="J70">
            <v>0</v>
          </cell>
          <cell r="K70">
            <v>6</v>
          </cell>
          <cell r="L70">
            <v>6</v>
          </cell>
          <cell r="M70">
            <v>19500</v>
          </cell>
          <cell r="N70">
            <v>19200</v>
          </cell>
          <cell r="O70">
            <v>4500</v>
          </cell>
          <cell r="P70">
            <v>43200</v>
          </cell>
          <cell r="Q70">
            <v>1350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23611</v>
          </cell>
          <cell r="X70">
            <v>6828</v>
          </cell>
          <cell r="Y70">
            <v>9610</v>
          </cell>
          <cell r="Z70">
            <v>9445</v>
          </cell>
          <cell r="AA70">
            <v>14166</v>
          </cell>
        </row>
        <row r="71">
          <cell r="E71" t="str">
            <v>670富里國小</v>
          </cell>
          <cell r="F71" t="str">
            <v>偏遠</v>
          </cell>
          <cell r="G71">
            <v>0</v>
          </cell>
          <cell r="H71">
            <v>7</v>
          </cell>
          <cell r="I71">
            <v>0</v>
          </cell>
          <cell r="J71">
            <v>0</v>
          </cell>
          <cell r="K71">
            <v>3</v>
          </cell>
          <cell r="L71">
            <v>1</v>
          </cell>
          <cell r="M71">
            <v>24960</v>
          </cell>
          <cell r="N71">
            <v>51200</v>
          </cell>
          <cell r="O71">
            <v>5760</v>
          </cell>
          <cell r="P71">
            <v>81920</v>
          </cell>
          <cell r="Q71">
            <v>2560</v>
          </cell>
          <cell r="R71">
            <v>0</v>
          </cell>
          <cell r="S71">
            <v>0</v>
          </cell>
          <cell r="T71">
            <v>0</v>
          </cell>
          <cell r="U71">
            <v>3360</v>
          </cell>
          <cell r="V71">
            <v>0</v>
          </cell>
          <cell r="W71">
            <v>10799</v>
          </cell>
          <cell r="X71">
            <v>67918</v>
          </cell>
          <cell r="Y71">
            <v>0</v>
          </cell>
          <cell r="Z71">
            <v>4320</v>
          </cell>
          <cell r="AA71">
            <v>6479</v>
          </cell>
        </row>
        <row r="72">
          <cell r="E72" t="str">
            <v>671萬寧國小</v>
          </cell>
          <cell r="F72" t="str">
            <v>特偏</v>
          </cell>
          <cell r="G72">
            <v>1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3</v>
          </cell>
          <cell r="M72">
            <v>42120</v>
          </cell>
          <cell r="N72">
            <v>17280</v>
          </cell>
          <cell r="O72">
            <v>9720</v>
          </cell>
          <cell r="P72">
            <v>69120</v>
          </cell>
          <cell r="Q72">
            <v>2160</v>
          </cell>
          <cell r="R72">
            <v>2500</v>
          </cell>
          <cell r="S72">
            <v>2000</v>
          </cell>
          <cell r="T72">
            <v>0</v>
          </cell>
          <cell r="U72">
            <v>216</v>
          </cell>
          <cell r="V72">
            <v>0</v>
          </cell>
          <cell r="W72">
            <v>14233</v>
          </cell>
          <cell r="X72">
            <v>0</v>
          </cell>
          <cell r="Y72">
            <v>51826</v>
          </cell>
          <cell r="Z72">
            <v>5694</v>
          </cell>
          <cell r="AA72">
            <v>8539</v>
          </cell>
        </row>
        <row r="73">
          <cell r="E73" t="str">
            <v>672永豐國小</v>
          </cell>
          <cell r="F73" t="str">
            <v>極偏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7</v>
          </cell>
          <cell r="L73">
            <v>8</v>
          </cell>
          <cell r="M73">
            <v>28080</v>
          </cell>
          <cell r="N73">
            <v>17280</v>
          </cell>
          <cell r="O73">
            <v>6480</v>
          </cell>
          <cell r="P73">
            <v>51840</v>
          </cell>
          <cell r="Q73">
            <v>1620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35849</v>
          </cell>
          <cell r="X73">
            <v>0</v>
          </cell>
          <cell r="Y73">
            <v>11128</v>
          </cell>
          <cell r="Z73">
            <v>14340</v>
          </cell>
          <cell r="AA73">
            <v>21509</v>
          </cell>
        </row>
        <row r="74">
          <cell r="E74" t="str">
            <v>673學田國小</v>
          </cell>
          <cell r="F74" t="str">
            <v>特偏</v>
          </cell>
          <cell r="P74">
            <v>0</v>
          </cell>
        </row>
        <row r="75">
          <cell r="E75" t="str">
            <v>674東竹國小</v>
          </cell>
          <cell r="F75" t="str">
            <v>偏遠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2</v>
          </cell>
          <cell r="L75">
            <v>1</v>
          </cell>
          <cell r="M75">
            <v>9360</v>
          </cell>
          <cell r="N75">
            <v>23040</v>
          </cell>
          <cell r="O75">
            <v>2160</v>
          </cell>
          <cell r="P75">
            <v>34560</v>
          </cell>
          <cell r="Q75">
            <v>1080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3784</v>
          </cell>
          <cell r="X75">
            <v>17293</v>
          </cell>
          <cell r="Y75">
            <v>12400</v>
          </cell>
          <cell r="Z75">
            <v>1514</v>
          </cell>
          <cell r="AA75">
            <v>2270</v>
          </cell>
        </row>
        <row r="76">
          <cell r="E76" t="str">
            <v>675東里國小</v>
          </cell>
          <cell r="F76" t="str">
            <v>偏遠</v>
          </cell>
          <cell r="G76">
            <v>3</v>
          </cell>
          <cell r="H76">
            <v>5</v>
          </cell>
          <cell r="I76">
            <v>0</v>
          </cell>
          <cell r="J76">
            <v>0</v>
          </cell>
          <cell r="K76">
            <v>3</v>
          </cell>
          <cell r="L76">
            <v>4</v>
          </cell>
          <cell r="M76">
            <v>37440</v>
          </cell>
          <cell r="N76">
            <v>46080</v>
          </cell>
          <cell r="O76">
            <v>8640</v>
          </cell>
          <cell r="P76">
            <v>92160</v>
          </cell>
          <cell r="Q76">
            <v>2880</v>
          </cell>
          <cell r="R76">
            <v>900</v>
          </cell>
          <cell r="S76">
            <v>700</v>
          </cell>
          <cell r="T76">
            <v>0</v>
          </cell>
          <cell r="U76">
            <v>2950</v>
          </cell>
          <cell r="V76">
            <v>0</v>
          </cell>
          <cell r="W76">
            <v>47454</v>
          </cell>
          <cell r="X76">
            <v>0</v>
          </cell>
          <cell r="Y76">
            <v>40546</v>
          </cell>
          <cell r="Z76">
            <v>18982</v>
          </cell>
          <cell r="AA76">
            <v>28472</v>
          </cell>
        </row>
        <row r="77">
          <cell r="E77" t="str">
            <v>676明里國小</v>
          </cell>
          <cell r="F77" t="str">
            <v>特偏</v>
          </cell>
          <cell r="G77">
            <v>2</v>
          </cell>
          <cell r="H77">
            <v>2</v>
          </cell>
          <cell r="I77">
            <v>0</v>
          </cell>
          <cell r="J77">
            <v>0</v>
          </cell>
          <cell r="K77">
            <v>4</v>
          </cell>
          <cell r="L77">
            <v>4</v>
          </cell>
          <cell r="M77">
            <v>40040</v>
          </cell>
          <cell r="N77">
            <v>16320</v>
          </cell>
          <cell r="O77">
            <v>9240</v>
          </cell>
          <cell r="P77">
            <v>65600</v>
          </cell>
          <cell r="Q77">
            <v>2050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45986</v>
          </cell>
          <cell r="X77">
            <v>0</v>
          </cell>
          <cell r="Y77">
            <v>12423</v>
          </cell>
          <cell r="Z77">
            <v>18395</v>
          </cell>
          <cell r="AA77">
            <v>27591</v>
          </cell>
        </row>
        <row r="78">
          <cell r="E78" t="str">
            <v>677富南國小</v>
          </cell>
          <cell r="F78" t="str">
            <v>--</v>
          </cell>
          <cell r="P78">
            <v>0</v>
          </cell>
        </row>
        <row r="79">
          <cell r="E79" t="str">
            <v>678吳江國小</v>
          </cell>
          <cell r="F79" t="str">
            <v>特偏</v>
          </cell>
          <cell r="G79">
            <v>1</v>
          </cell>
          <cell r="H79">
            <v>4</v>
          </cell>
          <cell r="I79">
            <v>1</v>
          </cell>
          <cell r="J79">
            <v>0</v>
          </cell>
          <cell r="K79">
            <v>6</v>
          </cell>
          <cell r="L79">
            <v>5</v>
          </cell>
          <cell r="M79">
            <v>45760</v>
          </cell>
          <cell r="N79">
            <v>20480</v>
          </cell>
          <cell r="O79">
            <v>10560</v>
          </cell>
          <cell r="P79">
            <v>76800</v>
          </cell>
          <cell r="Q79">
            <v>2400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54966</v>
          </cell>
          <cell r="X79">
            <v>0</v>
          </cell>
          <cell r="Y79">
            <v>13674</v>
          </cell>
          <cell r="Z79">
            <v>21987</v>
          </cell>
          <cell r="AA79">
            <v>32979</v>
          </cell>
        </row>
        <row r="80">
          <cell r="E80" t="str">
            <v>679秀林國小</v>
          </cell>
          <cell r="F80" t="str">
            <v>偏遠</v>
          </cell>
          <cell r="G80">
            <v>0</v>
          </cell>
          <cell r="H80">
            <v>1</v>
          </cell>
          <cell r="I80">
            <v>0</v>
          </cell>
          <cell r="J80">
            <v>0</v>
          </cell>
          <cell r="K80">
            <v>40</v>
          </cell>
          <cell r="L80">
            <v>25</v>
          </cell>
          <cell r="M80">
            <v>61880</v>
          </cell>
          <cell r="N80">
            <v>38080</v>
          </cell>
          <cell r="O80">
            <v>14280</v>
          </cell>
          <cell r="P80">
            <v>114240</v>
          </cell>
          <cell r="Q80">
            <v>3570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103530</v>
          </cell>
          <cell r="X80">
            <v>0</v>
          </cell>
          <cell r="Y80">
            <v>0</v>
          </cell>
          <cell r="Z80">
            <v>41412</v>
          </cell>
          <cell r="AA80">
            <v>62118</v>
          </cell>
        </row>
        <row r="81">
          <cell r="E81" t="str">
            <v>680富世國小</v>
          </cell>
          <cell r="F81" t="str">
            <v>偏遠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24</v>
          </cell>
          <cell r="L81">
            <v>28</v>
          </cell>
          <cell r="M81">
            <v>30940</v>
          </cell>
          <cell r="N81">
            <v>43520</v>
          </cell>
          <cell r="O81">
            <v>7140</v>
          </cell>
          <cell r="P81">
            <v>81600</v>
          </cell>
          <cell r="Q81">
            <v>2550</v>
          </cell>
          <cell r="R81">
            <v>0</v>
          </cell>
          <cell r="S81">
            <v>0</v>
          </cell>
          <cell r="T81">
            <v>0</v>
          </cell>
          <cell r="U81">
            <v>1800</v>
          </cell>
          <cell r="V81">
            <v>0</v>
          </cell>
          <cell r="W81">
            <v>77010</v>
          </cell>
          <cell r="X81">
            <v>0</v>
          </cell>
          <cell r="Y81">
            <v>0</v>
          </cell>
          <cell r="Z81">
            <v>30804</v>
          </cell>
          <cell r="AA81">
            <v>46206</v>
          </cell>
        </row>
        <row r="82">
          <cell r="E82" t="str">
            <v>681和平國小</v>
          </cell>
          <cell r="F82" t="str">
            <v>特偏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31</v>
          </cell>
          <cell r="L82">
            <v>34</v>
          </cell>
          <cell r="M82">
            <v>137020</v>
          </cell>
          <cell r="N82">
            <v>0</v>
          </cell>
          <cell r="O82">
            <v>31620</v>
          </cell>
          <cell r="P82">
            <v>168640</v>
          </cell>
          <cell r="Q82">
            <v>5270</v>
          </cell>
          <cell r="R82">
            <v>0</v>
          </cell>
          <cell r="S82">
            <v>0</v>
          </cell>
          <cell r="T82">
            <v>0</v>
          </cell>
          <cell r="U82">
            <v>4650</v>
          </cell>
          <cell r="V82">
            <v>0</v>
          </cell>
          <cell r="W82">
            <v>120070</v>
          </cell>
          <cell r="X82">
            <v>0</v>
          </cell>
          <cell r="Y82">
            <v>22219</v>
          </cell>
          <cell r="Z82">
            <v>48028</v>
          </cell>
          <cell r="AA82">
            <v>72042</v>
          </cell>
        </row>
        <row r="83">
          <cell r="E83" t="str">
            <v>682佳民國小</v>
          </cell>
          <cell r="F83" t="str">
            <v>非山非市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20</v>
          </cell>
          <cell r="L83">
            <v>18</v>
          </cell>
          <cell r="M83">
            <v>70980</v>
          </cell>
          <cell r="N83">
            <v>5760</v>
          </cell>
          <cell r="O83">
            <v>16380</v>
          </cell>
          <cell r="P83">
            <v>93120</v>
          </cell>
          <cell r="Q83">
            <v>2910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79650</v>
          </cell>
          <cell r="X83">
            <v>0</v>
          </cell>
          <cell r="Y83">
            <v>0</v>
          </cell>
          <cell r="Z83">
            <v>31860</v>
          </cell>
          <cell r="AA83">
            <v>47790</v>
          </cell>
        </row>
        <row r="84">
          <cell r="E84" t="str">
            <v>683銅門國小</v>
          </cell>
          <cell r="F84" t="str">
            <v>偏遠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28</v>
          </cell>
          <cell r="L84">
            <v>28</v>
          </cell>
          <cell r="M84">
            <v>46800</v>
          </cell>
          <cell r="N84">
            <v>80640</v>
          </cell>
          <cell r="O84">
            <v>10800</v>
          </cell>
          <cell r="P84">
            <v>138240</v>
          </cell>
          <cell r="Q84">
            <v>4320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125770</v>
          </cell>
          <cell r="X84">
            <v>0</v>
          </cell>
          <cell r="Y84">
            <v>5987</v>
          </cell>
          <cell r="Z84">
            <v>50308</v>
          </cell>
          <cell r="AA84">
            <v>75462</v>
          </cell>
        </row>
        <row r="85">
          <cell r="E85" t="str">
            <v>684水源國小</v>
          </cell>
          <cell r="F85" t="str">
            <v>非山非市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42</v>
          </cell>
          <cell r="L85">
            <v>39</v>
          </cell>
          <cell r="M85">
            <v>131040</v>
          </cell>
          <cell r="N85">
            <v>69120</v>
          </cell>
          <cell r="O85">
            <v>30240</v>
          </cell>
          <cell r="P85">
            <v>230400</v>
          </cell>
          <cell r="Q85">
            <v>7200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207360</v>
          </cell>
          <cell r="X85">
            <v>0</v>
          </cell>
          <cell r="Y85">
            <v>0</v>
          </cell>
          <cell r="Z85">
            <v>82944</v>
          </cell>
          <cell r="AA85">
            <v>124416</v>
          </cell>
        </row>
        <row r="86">
          <cell r="E86" t="str">
            <v>685崇德國小</v>
          </cell>
          <cell r="F86" t="str">
            <v>偏遠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45</v>
          </cell>
          <cell r="L86">
            <v>30</v>
          </cell>
          <cell r="M86">
            <v>196560</v>
          </cell>
          <cell r="N86">
            <v>115200</v>
          </cell>
          <cell r="O86">
            <v>45360</v>
          </cell>
          <cell r="P86">
            <v>357120</v>
          </cell>
          <cell r="Q86">
            <v>11160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322920</v>
          </cell>
          <cell r="X86">
            <v>0</v>
          </cell>
          <cell r="Y86">
            <v>0</v>
          </cell>
          <cell r="Z86">
            <v>129168</v>
          </cell>
          <cell r="AA86">
            <v>193752</v>
          </cell>
        </row>
        <row r="87">
          <cell r="E87" t="str">
            <v>686文蘭國小</v>
          </cell>
          <cell r="F87" t="str">
            <v>偏遠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27</v>
          </cell>
          <cell r="L87">
            <v>20</v>
          </cell>
          <cell r="M87">
            <v>24960</v>
          </cell>
          <cell r="N87">
            <v>30720</v>
          </cell>
          <cell r="O87">
            <v>5760</v>
          </cell>
          <cell r="P87">
            <v>61440</v>
          </cell>
          <cell r="Q87">
            <v>1920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47840</v>
          </cell>
          <cell r="X87">
            <v>0</v>
          </cell>
          <cell r="Y87">
            <v>9760</v>
          </cell>
          <cell r="Z87">
            <v>19136</v>
          </cell>
          <cell r="AA87">
            <v>28704</v>
          </cell>
        </row>
        <row r="88">
          <cell r="E88" t="str">
            <v>687景美國小</v>
          </cell>
          <cell r="F88" t="str">
            <v>非山非市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21</v>
          </cell>
          <cell r="L88">
            <v>29</v>
          </cell>
          <cell r="M88">
            <v>20800</v>
          </cell>
          <cell r="N88">
            <v>61440</v>
          </cell>
          <cell r="O88">
            <v>4800</v>
          </cell>
          <cell r="P88">
            <v>87040</v>
          </cell>
          <cell r="Q88">
            <v>2720</v>
          </cell>
          <cell r="R88">
            <v>0</v>
          </cell>
          <cell r="S88">
            <v>0</v>
          </cell>
          <cell r="T88">
            <v>0</v>
          </cell>
          <cell r="U88">
            <v>6600</v>
          </cell>
          <cell r="V88">
            <v>0</v>
          </cell>
          <cell r="W88">
            <v>84960</v>
          </cell>
          <cell r="X88">
            <v>0</v>
          </cell>
          <cell r="Y88">
            <v>0</v>
          </cell>
          <cell r="Z88">
            <v>33984</v>
          </cell>
          <cell r="AA88">
            <v>50976</v>
          </cell>
        </row>
        <row r="89">
          <cell r="E89" t="str">
            <v>688三棧國小</v>
          </cell>
          <cell r="F89" t="str">
            <v>偏遠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6</v>
          </cell>
          <cell r="L89">
            <v>9</v>
          </cell>
          <cell r="M89">
            <v>15600</v>
          </cell>
          <cell r="N89">
            <v>19200</v>
          </cell>
          <cell r="O89">
            <v>3600</v>
          </cell>
          <cell r="P89">
            <v>38400</v>
          </cell>
          <cell r="Q89">
            <v>1200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36000</v>
          </cell>
          <cell r="X89">
            <v>0</v>
          </cell>
          <cell r="Y89">
            <v>0</v>
          </cell>
          <cell r="Z89">
            <v>14400</v>
          </cell>
          <cell r="AA89">
            <v>21600</v>
          </cell>
        </row>
        <row r="90">
          <cell r="E90" t="str">
            <v>689銅蘭國小</v>
          </cell>
          <cell r="F90" t="str">
            <v>偏遠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23</v>
          </cell>
          <cell r="L90">
            <v>22</v>
          </cell>
          <cell r="M90">
            <v>44200</v>
          </cell>
          <cell r="N90">
            <v>65280</v>
          </cell>
          <cell r="O90">
            <v>10200</v>
          </cell>
          <cell r="P90">
            <v>119680</v>
          </cell>
          <cell r="Q90">
            <v>3740</v>
          </cell>
          <cell r="R90">
            <v>3911</v>
          </cell>
          <cell r="S90">
            <v>3454</v>
          </cell>
          <cell r="T90">
            <v>0</v>
          </cell>
          <cell r="U90">
            <v>445</v>
          </cell>
          <cell r="V90">
            <v>0</v>
          </cell>
          <cell r="W90">
            <v>120585</v>
          </cell>
          <cell r="X90">
            <v>0</v>
          </cell>
          <cell r="Y90">
            <v>0</v>
          </cell>
          <cell r="Z90">
            <v>48234</v>
          </cell>
          <cell r="AA90">
            <v>72351</v>
          </cell>
        </row>
        <row r="91">
          <cell r="E91" t="str">
            <v>690萬榮國小</v>
          </cell>
          <cell r="F91" t="str">
            <v>偏遠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20</v>
          </cell>
          <cell r="L91">
            <v>32</v>
          </cell>
          <cell r="M91">
            <v>70200</v>
          </cell>
          <cell r="N91">
            <v>46080</v>
          </cell>
          <cell r="O91">
            <v>16200</v>
          </cell>
          <cell r="P91">
            <v>132480</v>
          </cell>
          <cell r="Q91">
            <v>4140</v>
          </cell>
          <cell r="R91">
            <v>0</v>
          </cell>
          <cell r="S91">
            <v>0</v>
          </cell>
          <cell r="T91">
            <v>0</v>
          </cell>
          <cell r="U91">
            <v>3030</v>
          </cell>
          <cell r="V91">
            <v>0</v>
          </cell>
          <cell r="W91">
            <v>120420</v>
          </cell>
          <cell r="X91">
            <v>0</v>
          </cell>
          <cell r="Y91">
            <v>0</v>
          </cell>
          <cell r="Z91">
            <v>48168</v>
          </cell>
          <cell r="AA91">
            <v>72252</v>
          </cell>
        </row>
        <row r="92">
          <cell r="E92" t="str">
            <v>691西林國小</v>
          </cell>
          <cell r="F92" t="str">
            <v>特偏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33</v>
          </cell>
          <cell r="L92">
            <v>31</v>
          </cell>
          <cell r="M92">
            <v>46280</v>
          </cell>
          <cell r="N92">
            <v>71680</v>
          </cell>
          <cell r="O92">
            <v>10680</v>
          </cell>
          <cell r="P92">
            <v>128640</v>
          </cell>
          <cell r="Q92">
            <v>4020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121980</v>
          </cell>
          <cell r="X92">
            <v>0</v>
          </cell>
          <cell r="Y92">
            <v>0</v>
          </cell>
          <cell r="Z92">
            <v>48792</v>
          </cell>
          <cell r="AA92">
            <v>73188</v>
          </cell>
        </row>
        <row r="93">
          <cell r="E93" t="str">
            <v>692見晴國小</v>
          </cell>
          <cell r="F93" t="str">
            <v>偏遠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7</v>
          </cell>
          <cell r="L93">
            <v>10</v>
          </cell>
          <cell r="M93">
            <v>4680</v>
          </cell>
          <cell r="N93">
            <v>23040</v>
          </cell>
          <cell r="O93">
            <v>1080</v>
          </cell>
          <cell r="P93">
            <v>28800</v>
          </cell>
          <cell r="Q93">
            <v>900</v>
          </cell>
          <cell r="R93">
            <v>0</v>
          </cell>
          <cell r="S93">
            <v>0</v>
          </cell>
          <cell r="T93">
            <v>0</v>
          </cell>
          <cell r="U93">
            <v>1040</v>
          </cell>
          <cell r="V93">
            <v>0</v>
          </cell>
          <cell r="W93">
            <v>28620</v>
          </cell>
          <cell r="X93">
            <v>0</v>
          </cell>
          <cell r="Y93">
            <v>0</v>
          </cell>
          <cell r="Z93">
            <v>11448</v>
          </cell>
          <cell r="AA93">
            <v>17172</v>
          </cell>
        </row>
        <row r="94">
          <cell r="E94" t="str">
            <v>693馬遠國小</v>
          </cell>
          <cell r="F94" t="str">
            <v>特偏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</v>
          </cell>
          <cell r="L94">
            <v>12</v>
          </cell>
          <cell r="M94">
            <v>44720</v>
          </cell>
          <cell r="N94">
            <v>21760</v>
          </cell>
          <cell r="O94">
            <v>10320</v>
          </cell>
          <cell r="P94">
            <v>76800</v>
          </cell>
          <cell r="Q94">
            <v>2400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68880</v>
          </cell>
          <cell r="X94">
            <v>0</v>
          </cell>
          <cell r="Y94">
            <v>0</v>
          </cell>
          <cell r="Z94">
            <v>27552</v>
          </cell>
          <cell r="AA94">
            <v>41328</v>
          </cell>
        </row>
        <row r="95">
          <cell r="E95" t="str">
            <v>694紅葉國小</v>
          </cell>
          <cell r="F95" t="str">
            <v>特偏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20</v>
          </cell>
          <cell r="L95">
            <v>27</v>
          </cell>
          <cell r="M95">
            <v>57460</v>
          </cell>
          <cell r="N95">
            <v>0</v>
          </cell>
          <cell r="O95">
            <v>13260</v>
          </cell>
          <cell r="P95">
            <v>70720</v>
          </cell>
          <cell r="Q95">
            <v>2210</v>
          </cell>
          <cell r="R95">
            <v>1836</v>
          </cell>
          <cell r="S95">
            <v>1913</v>
          </cell>
          <cell r="T95">
            <v>0</v>
          </cell>
          <cell r="U95">
            <v>0</v>
          </cell>
          <cell r="V95">
            <v>0</v>
          </cell>
          <cell r="W95">
            <v>63419</v>
          </cell>
          <cell r="X95">
            <v>0</v>
          </cell>
          <cell r="Y95">
            <v>0</v>
          </cell>
          <cell r="Z95">
            <v>25368</v>
          </cell>
          <cell r="AA95">
            <v>38051</v>
          </cell>
        </row>
        <row r="96">
          <cell r="E96" t="str">
            <v>695明利國小</v>
          </cell>
          <cell r="F96" t="str">
            <v>偏遠</v>
          </cell>
          <cell r="G96">
            <v>1</v>
          </cell>
          <cell r="H96">
            <v>0</v>
          </cell>
          <cell r="I96">
            <v>0</v>
          </cell>
          <cell r="J96">
            <v>0</v>
          </cell>
          <cell r="K96">
            <v>12</v>
          </cell>
          <cell r="L96">
            <v>14</v>
          </cell>
          <cell r="M96">
            <v>18720</v>
          </cell>
          <cell r="N96">
            <v>15040</v>
          </cell>
          <cell r="O96">
            <v>4320</v>
          </cell>
          <cell r="P96">
            <v>38080</v>
          </cell>
          <cell r="Q96">
            <v>1190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31710</v>
          </cell>
          <cell r="X96">
            <v>0</v>
          </cell>
          <cell r="Y96">
            <v>3240</v>
          </cell>
          <cell r="Z96">
            <v>12684</v>
          </cell>
          <cell r="AA96">
            <v>19026</v>
          </cell>
        </row>
        <row r="97">
          <cell r="E97" t="str">
            <v>696卓溪國小</v>
          </cell>
          <cell r="F97" t="str">
            <v>特偏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9</v>
          </cell>
          <cell r="L97">
            <v>6</v>
          </cell>
          <cell r="M97">
            <v>28080</v>
          </cell>
          <cell r="N97">
            <v>0</v>
          </cell>
          <cell r="O97">
            <v>6480</v>
          </cell>
          <cell r="P97">
            <v>34560</v>
          </cell>
          <cell r="Q97">
            <v>1080</v>
          </cell>
          <cell r="R97">
            <v>2000</v>
          </cell>
          <cell r="S97">
            <v>2000</v>
          </cell>
          <cell r="T97">
            <v>0</v>
          </cell>
          <cell r="U97">
            <v>0</v>
          </cell>
          <cell r="V97">
            <v>0</v>
          </cell>
          <cell r="W97">
            <v>33160</v>
          </cell>
          <cell r="X97">
            <v>0</v>
          </cell>
          <cell r="Y97">
            <v>0</v>
          </cell>
          <cell r="Z97">
            <v>13264</v>
          </cell>
          <cell r="AA97">
            <v>19896</v>
          </cell>
        </row>
        <row r="98">
          <cell r="E98" t="str">
            <v>697崙山國小</v>
          </cell>
          <cell r="F98" t="str">
            <v>極偏</v>
          </cell>
          <cell r="G98">
            <v>4</v>
          </cell>
          <cell r="H98">
            <v>6</v>
          </cell>
          <cell r="I98">
            <v>0</v>
          </cell>
          <cell r="J98">
            <v>0</v>
          </cell>
          <cell r="K98">
            <v>9</v>
          </cell>
          <cell r="L98">
            <v>11</v>
          </cell>
          <cell r="M98">
            <v>18720</v>
          </cell>
          <cell r="N98">
            <v>0</v>
          </cell>
          <cell r="O98">
            <v>4320</v>
          </cell>
          <cell r="P98">
            <v>23040</v>
          </cell>
          <cell r="Q98">
            <v>720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19440</v>
          </cell>
          <cell r="X98">
            <v>0</v>
          </cell>
          <cell r="Y98">
            <v>0</v>
          </cell>
          <cell r="Z98">
            <v>7776</v>
          </cell>
          <cell r="AA98">
            <v>11664</v>
          </cell>
        </row>
        <row r="99">
          <cell r="E99" t="str">
            <v>698太平國小</v>
          </cell>
          <cell r="F99" t="str">
            <v>極偏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11</v>
          </cell>
          <cell r="L99">
            <v>10</v>
          </cell>
          <cell r="M99">
            <v>32760</v>
          </cell>
          <cell r="N99">
            <v>11520</v>
          </cell>
          <cell r="O99">
            <v>7560</v>
          </cell>
          <cell r="P99">
            <v>51840</v>
          </cell>
          <cell r="Q99">
            <v>1620</v>
          </cell>
          <cell r="R99">
            <v>0</v>
          </cell>
          <cell r="S99">
            <v>0</v>
          </cell>
          <cell r="T99">
            <v>0</v>
          </cell>
          <cell r="U99">
            <v>9780</v>
          </cell>
          <cell r="V99">
            <v>0</v>
          </cell>
          <cell r="W99">
            <v>45900</v>
          </cell>
          <cell r="X99">
            <v>0</v>
          </cell>
          <cell r="Y99">
            <v>0</v>
          </cell>
          <cell r="Z99">
            <v>18360</v>
          </cell>
          <cell r="AA99">
            <v>27540</v>
          </cell>
        </row>
        <row r="100">
          <cell r="E100" t="str">
            <v>699卓清國小</v>
          </cell>
          <cell r="F100" t="str">
            <v>極偏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9</v>
          </cell>
          <cell r="L100">
            <v>6</v>
          </cell>
          <cell r="M100">
            <v>15600</v>
          </cell>
          <cell r="N100">
            <v>20160</v>
          </cell>
          <cell r="O100">
            <v>3600</v>
          </cell>
          <cell r="P100">
            <v>39360</v>
          </cell>
          <cell r="Q100">
            <v>1230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36990</v>
          </cell>
          <cell r="X100">
            <v>0</v>
          </cell>
          <cell r="Y100">
            <v>0</v>
          </cell>
          <cell r="Z100">
            <v>14796</v>
          </cell>
          <cell r="AA100">
            <v>22194</v>
          </cell>
        </row>
        <row r="101">
          <cell r="E101" t="str">
            <v>700古風國小</v>
          </cell>
          <cell r="F101" t="str">
            <v>極偏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12</v>
          </cell>
          <cell r="L101">
            <v>10</v>
          </cell>
          <cell r="M101">
            <v>11700</v>
          </cell>
          <cell r="N101">
            <v>24000</v>
          </cell>
          <cell r="O101">
            <v>2700</v>
          </cell>
          <cell r="P101">
            <v>38400</v>
          </cell>
          <cell r="Q101">
            <v>1200</v>
          </cell>
          <cell r="R101">
            <v>0</v>
          </cell>
          <cell r="S101">
            <v>0</v>
          </cell>
          <cell r="T101">
            <v>0</v>
          </cell>
          <cell r="U101">
            <v>300</v>
          </cell>
          <cell r="V101">
            <v>0</v>
          </cell>
          <cell r="W101">
            <v>36900</v>
          </cell>
          <cell r="X101">
            <v>0</v>
          </cell>
          <cell r="Y101">
            <v>0</v>
          </cell>
          <cell r="Z101">
            <v>14760</v>
          </cell>
          <cell r="AA101">
            <v>22140</v>
          </cell>
        </row>
        <row r="102">
          <cell r="E102" t="str">
            <v>701立山國小</v>
          </cell>
          <cell r="F102" t="str">
            <v>極偏</v>
          </cell>
          <cell r="G102">
            <v>8</v>
          </cell>
          <cell r="H102">
            <v>4</v>
          </cell>
          <cell r="I102">
            <v>0</v>
          </cell>
          <cell r="J102">
            <v>0</v>
          </cell>
          <cell r="K102">
            <v>19</v>
          </cell>
          <cell r="L102">
            <v>11</v>
          </cell>
          <cell r="M102">
            <v>21840</v>
          </cell>
          <cell r="N102">
            <v>22400</v>
          </cell>
          <cell r="O102">
            <v>5040</v>
          </cell>
          <cell r="P102">
            <v>49280</v>
          </cell>
          <cell r="Q102">
            <v>1540</v>
          </cell>
          <cell r="R102">
            <v>0</v>
          </cell>
          <cell r="S102">
            <v>0</v>
          </cell>
          <cell r="T102">
            <v>0</v>
          </cell>
          <cell r="U102">
            <v>749</v>
          </cell>
          <cell r="V102">
            <v>0</v>
          </cell>
          <cell r="W102">
            <v>45780</v>
          </cell>
          <cell r="X102">
            <v>0</v>
          </cell>
          <cell r="Y102">
            <v>0</v>
          </cell>
          <cell r="Z102">
            <v>18312</v>
          </cell>
          <cell r="AA102">
            <v>27468</v>
          </cell>
        </row>
        <row r="103">
          <cell r="E103" t="str">
            <v>702卓樂國小</v>
          </cell>
          <cell r="F103" t="str">
            <v>極偏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10</v>
          </cell>
          <cell r="L103">
            <v>6</v>
          </cell>
          <cell r="M103">
            <v>42120</v>
          </cell>
          <cell r="N103">
            <v>23040</v>
          </cell>
          <cell r="O103">
            <v>9720</v>
          </cell>
          <cell r="P103">
            <v>74880</v>
          </cell>
          <cell r="Q103">
            <v>2340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67500</v>
          </cell>
          <cell r="X103">
            <v>0</v>
          </cell>
          <cell r="Y103">
            <v>0</v>
          </cell>
          <cell r="Z103">
            <v>27000</v>
          </cell>
          <cell r="AA103">
            <v>40500</v>
          </cell>
        </row>
        <row r="104">
          <cell r="E104" t="str">
            <v>703卓楓國小</v>
          </cell>
          <cell r="F104" t="str">
            <v>極偏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8</v>
          </cell>
          <cell r="L104">
            <v>9</v>
          </cell>
          <cell r="M104">
            <v>37440</v>
          </cell>
          <cell r="N104">
            <v>5760</v>
          </cell>
          <cell r="O104">
            <v>8640</v>
          </cell>
          <cell r="P104">
            <v>51840</v>
          </cell>
          <cell r="Q104">
            <v>1620</v>
          </cell>
          <cell r="R104">
            <v>0</v>
          </cell>
          <cell r="S104">
            <v>0</v>
          </cell>
          <cell r="T104">
            <v>0</v>
          </cell>
          <cell r="U104">
            <v>180</v>
          </cell>
          <cell r="V104">
            <v>0</v>
          </cell>
          <cell r="W104">
            <v>44820</v>
          </cell>
          <cell r="X104">
            <v>0</v>
          </cell>
          <cell r="Y104">
            <v>0</v>
          </cell>
          <cell r="Z104">
            <v>17928</v>
          </cell>
          <cell r="AA104">
            <v>26892</v>
          </cell>
        </row>
        <row r="105">
          <cell r="E105" t="str">
            <v>705西富國小</v>
          </cell>
          <cell r="F105" t="str">
            <v>偏遠</v>
          </cell>
          <cell r="G105">
            <v>1</v>
          </cell>
          <cell r="H105">
            <v>3</v>
          </cell>
          <cell r="I105">
            <v>0</v>
          </cell>
          <cell r="J105">
            <v>0</v>
          </cell>
          <cell r="K105">
            <v>7</v>
          </cell>
          <cell r="L105">
            <v>4</v>
          </cell>
          <cell r="M105">
            <v>61880</v>
          </cell>
          <cell r="N105">
            <v>70720</v>
          </cell>
          <cell r="O105">
            <v>14280</v>
          </cell>
          <cell r="P105">
            <v>146880</v>
          </cell>
          <cell r="Q105">
            <v>4590</v>
          </cell>
          <cell r="R105">
            <v>984</v>
          </cell>
          <cell r="S105">
            <v>754</v>
          </cell>
          <cell r="T105">
            <v>0</v>
          </cell>
          <cell r="U105">
            <v>5130</v>
          </cell>
          <cell r="V105">
            <v>0</v>
          </cell>
          <cell r="W105">
            <v>62798</v>
          </cell>
          <cell r="X105">
            <v>0</v>
          </cell>
          <cell r="Y105">
            <v>76125</v>
          </cell>
          <cell r="Z105">
            <v>25120</v>
          </cell>
          <cell r="AA105">
            <v>37678</v>
          </cell>
        </row>
        <row r="106">
          <cell r="E106" t="str">
            <v>706大興國小</v>
          </cell>
          <cell r="F106" t="str">
            <v>偏遠</v>
          </cell>
          <cell r="G106">
            <v>2</v>
          </cell>
          <cell r="H106">
            <v>2</v>
          </cell>
          <cell r="I106">
            <v>0</v>
          </cell>
          <cell r="J106">
            <v>0</v>
          </cell>
          <cell r="K106">
            <v>4</v>
          </cell>
          <cell r="L106">
            <v>9</v>
          </cell>
          <cell r="M106">
            <v>37440</v>
          </cell>
          <cell r="N106">
            <v>51840</v>
          </cell>
          <cell r="O106">
            <v>8640</v>
          </cell>
          <cell r="P106">
            <v>97920</v>
          </cell>
          <cell r="Q106">
            <v>3060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57912</v>
          </cell>
          <cell r="X106">
            <v>0</v>
          </cell>
          <cell r="Y106">
            <v>34426</v>
          </cell>
          <cell r="Z106">
            <v>23165</v>
          </cell>
          <cell r="AA106">
            <v>34747</v>
          </cell>
        </row>
        <row r="107">
          <cell r="E107" t="str">
            <v>707中原國小</v>
          </cell>
          <cell r="F107" t="str">
            <v>一般</v>
          </cell>
          <cell r="G107">
            <v>0</v>
          </cell>
          <cell r="H107">
            <v>1</v>
          </cell>
          <cell r="I107">
            <v>2</v>
          </cell>
          <cell r="J107">
            <v>1</v>
          </cell>
          <cell r="K107">
            <v>17</v>
          </cell>
          <cell r="L107">
            <v>19</v>
          </cell>
          <cell r="M107">
            <v>177840</v>
          </cell>
          <cell r="N107">
            <v>167040</v>
          </cell>
          <cell r="O107">
            <v>41040</v>
          </cell>
          <cell r="P107">
            <v>385920</v>
          </cell>
          <cell r="Q107">
            <v>12060</v>
          </cell>
          <cell r="R107">
            <v>26508</v>
          </cell>
          <cell r="S107">
            <v>13427</v>
          </cell>
          <cell r="T107">
            <v>94619</v>
          </cell>
          <cell r="U107">
            <v>0</v>
          </cell>
          <cell r="V107">
            <v>1485</v>
          </cell>
          <cell r="W107">
            <v>99624</v>
          </cell>
          <cell r="X107">
            <v>189101</v>
          </cell>
          <cell r="Y107">
            <v>13520</v>
          </cell>
          <cell r="Z107">
            <v>38365</v>
          </cell>
          <cell r="AA107">
            <v>59774</v>
          </cell>
        </row>
        <row r="108">
          <cell r="E108" t="str">
            <v>708西寶國小</v>
          </cell>
          <cell r="F108" t="str">
            <v>極偏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15</v>
          </cell>
          <cell r="L108">
            <v>4</v>
          </cell>
          <cell r="M108">
            <v>37440</v>
          </cell>
          <cell r="N108">
            <v>69120</v>
          </cell>
          <cell r="O108">
            <v>8640</v>
          </cell>
          <cell r="P108">
            <v>115200</v>
          </cell>
          <cell r="Q108">
            <v>3600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58703</v>
          </cell>
          <cell r="X108">
            <v>0</v>
          </cell>
          <cell r="Y108">
            <v>51455</v>
          </cell>
          <cell r="Z108">
            <v>23482</v>
          </cell>
          <cell r="AA108">
            <v>35221</v>
          </cell>
        </row>
        <row r="109">
          <cell r="E109" t="str">
            <v>2537東華附小</v>
          </cell>
          <cell r="F109" t="str">
            <v>一般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234000</v>
          </cell>
          <cell r="N109">
            <v>403200</v>
          </cell>
          <cell r="O109">
            <v>54000</v>
          </cell>
          <cell r="P109">
            <v>691200</v>
          </cell>
          <cell r="Q109">
            <v>21600</v>
          </cell>
          <cell r="R109">
            <v>28800</v>
          </cell>
          <cell r="S109">
            <v>38400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726000</v>
          </cell>
          <cell r="Y109">
            <v>0</v>
          </cell>
          <cell r="Z109">
            <v>0</v>
          </cell>
          <cell r="AA109">
            <v>0</v>
          </cell>
        </row>
        <row r="110">
          <cell r="E110" t="str">
            <v>2501海星國小</v>
          </cell>
          <cell r="F110" t="str">
            <v>一般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414720</v>
          </cell>
          <cell r="O110">
            <v>0</v>
          </cell>
          <cell r="P110">
            <v>414720</v>
          </cell>
          <cell r="Q110">
            <v>12960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427680</v>
          </cell>
          <cell r="Y110">
            <v>0</v>
          </cell>
          <cell r="Z110">
            <v>0</v>
          </cell>
          <cell r="AA110">
            <v>0</v>
          </cell>
        </row>
        <row r="111">
          <cell r="E111" t="str">
            <v>2542慈濟附小</v>
          </cell>
          <cell r="F111" t="str">
            <v>一般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102960</v>
          </cell>
          <cell r="N111">
            <v>380160</v>
          </cell>
          <cell r="O111">
            <v>23760</v>
          </cell>
          <cell r="P111">
            <v>506880</v>
          </cell>
          <cell r="Q111">
            <v>15840</v>
          </cell>
          <cell r="R111">
            <v>10040</v>
          </cell>
          <cell r="S111">
            <v>5704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514704</v>
          </cell>
          <cell r="Y111">
            <v>0</v>
          </cell>
          <cell r="Z111">
            <v>0</v>
          </cell>
          <cell r="AA111">
            <v>0</v>
          </cell>
        </row>
        <row r="112">
          <cell r="G112">
            <v>189</v>
          </cell>
          <cell r="H112">
            <v>201</v>
          </cell>
          <cell r="I112">
            <v>48</v>
          </cell>
          <cell r="J112">
            <v>24</v>
          </cell>
          <cell r="K112">
            <v>1809</v>
          </cell>
          <cell r="L112">
            <v>1727</v>
          </cell>
          <cell r="M112">
            <v>9472190</v>
          </cell>
          <cell r="N112">
            <v>11193440</v>
          </cell>
          <cell r="O112">
            <v>2185890</v>
          </cell>
          <cell r="P112">
            <v>22851520</v>
          </cell>
          <cell r="Q112">
            <v>714110</v>
          </cell>
          <cell r="R112">
            <v>618315</v>
          </cell>
          <cell r="S112">
            <v>362107</v>
          </cell>
          <cell r="T112">
            <v>3207503</v>
          </cell>
          <cell r="U112">
            <v>137725</v>
          </cell>
          <cell r="V112">
            <v>232817</v>
          </cell>
          <cell r="W112">
            <v>11255565</v>
          </cell>
          <cell r="X112">
            <v>5759931</v>
          </cell>
          <cell r="Y112">
            <v>2136868</v>
          </cell>
          <cell r="Z112">
            <v>4269438</v>
          </cell>
          <cell r="AA112">
            <v>6753310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872"/>
  <sheetViews>
    <sheetView zoomScale="110" zoomScaleNormal="110" workbookViewId="0">
      <pane xSplit="2" ySplit="4" topLeftCell="M102" activePane="bottomRight" state="frozen"/>
      <selection pane="topRight" activeCell="B1" sqref="B1"/>
      <selection pane="bottomLeft" activeCell="A7" sqref="A7"/>
      <selection pane="bottomRight" activeCell="A63" sqref="A63:XFD63"/>
    </sheetView>
  </sheetViews>
  <sheetFormatPr defaultColWidth="9" defaultRowHeight="15" customHeight="1"/>
  <cols>
    <col min="1" max="1" width="4.6640625" style="1" customWidth="1"/>
    <col min="2" max="2" width="15" style="33" customWidth="1"/>
    <col min="3" max="5" width="13.6640625" style="1" customWidth="1"/>
    <col min="6" max="7" width="13.6640625" style="30" customWidth="1"/>
    <col min="8" max="8" width="13.6640625" style="1" customWidth="1"/>
    <col min="9" max="9" width="16.6640625" style="1" customWidth="1"/>
    <col min="10" max="10" width="15" style="1" customWidth="1"/>
    <col min="11" max="11" width="14.88671875" style="34" customWidth="1"/>
    <col min="12" max="12" width="15" style="35" customWidth="1"/>
    <col min="13" max="13" width="15.5546875" style="1" customWidth="1"/>
    <col min="14" max="14" width="14.6640625" style="1" customWidth="1"/>
    <col min="15" max="15" width="15.109375" style="1" customWidth="1"/>
    <col min="16" max="17" width="15.6640625" style="1" customWidth="1"/>
    <col min="18" max="18" width="15.21875" style="1" customWidth="1"/>
    <col min="19" max="19" width="22.109375" style="39" customWidth="1"/>
    <col min="20" max="20" width="13.77734375" style="1" customWidth="1"/>
    <col min="21" max="21" width="18.6640625" style="1" customWidth="1"/>
    <col min="22" max="253" width="9" style="1"/>
    <col min="254" max="254" width="4.6640625" style="1" customWidth="1"/>
    <col min="255" max="255" width="13.44140625" style="1" customWidth="1"/>
    <col min="256" max="260" width="13.6640625" style="1" customWidth="1"/>
    <col min="261" max="261" width="14.88671875" style="1" customWidth="1"/>
    <col min="262" max="262" width="14.44140625" style="1" customWidth="1"/>
    <col min="263" max="263" width="13" style="1" customWidth="1"/>
    <col min="264" max="264" width="14.6640625" style="1" customWidth="1"/>
    <col min="265" max="265" width="12.88671875" style="1" customWidth="1"/>
    <col min="266" max="266" width="14.33203125" style="1" customWidth="1"/>
    <col min="267" max="267" width="13.88671875" style="1" bestFit="1" customWidth="1"/>
    <col min="268" max="269" width="12.33203125" style="1" customWidth="1"/>
    <col min="270" max="270" width="14.44140625" style="1" customWidth="1"/>
    <col min="271" max="509" width="9" style="1"/>
    <col min="510" max="510" width="4.6640625" style="1" customWidth="1"/>
    <col min="511" max="511" width="13.44140625" style="1" customWidth="1"/>
    <col min="512" max="516" width="13.6640625" style="1" customWidth="1"/>
    <col min="517" max="517" width="14.88671875" style="1" customWidth="1"/>
    <col min="518" max="518" width="14.44140625" style="1" customWidth="1"/>
    <col min="519" max="519" width="13" style="1" customWidth="1"/>
    <col min="520" max="520" width="14.6640625" style="1" customWidth="1"/>
    <col min="521" max="521" width="12.88671875" style="1" customWidth="1"/>
    <col min="522" max="522" width="14.33203125" style="1" customWidth="1"/>
    <col min="523" max="523" width="13.88671875" style="1" bestFit="1" customWidth="1"/>
    <col min="524" max="525" width="12.33203125" style="1" customWidth="1"/>
    <col min="526" max="526" width="14.44140625" style="1" customWidth="1"/>
    <col min="527" max="765" width="9" style="1"/>
    <col min="766" max="766" width="4.6640625" style="1" customWidth="1"/>
    <col min="767" max="767" width="13.44140625" style="1" customWidth="1"/>
    <col min="768" max="772" width="13.6640625" style="1" customWidth="1"/>
    <col min="773" max="773" width="14.88671875" style="1" customWidth="1"/>
    <col min="774" max="774" width="14.44140625" style="1" customWidth="1"/>
    <col min="775" max="775" width="13" style="1" customWidth="1"/>
    <col min="776" max="776" width="14.6640625" style="1" customWidth="1"/>
    <col min="777" max="777" width="12.88671875" style="1" customWidth="1"/>
    <col min="778" max="778" width="14.33203125" style="1" customWidth="1"/>
    <col min="779" max="779" width="13.88671875" style="1" bestFit="1" customWidth="1"/>
    <col min="780" max="781" width="12.33203125" style="1" customWidth="1"/>
    <col min="782" max="782" width="14.44140625" style="1" customWidth="1"/>
    <col min="783" max="1021" width="9" style="1"/>
    <col min="1022" max="1022" width="4.6640625" style="1" customWidth="1"/>
    <col min="1023" max="1023" width="13.44140625" style="1" customWidth="1"/>
    <col min="1024" max="1028" width="13.6640625" style="1" customWidth="1"/>
    <col min="1029" max="1029" width="14.88671875" style="1" customWidth="1"/>
    <col min="1030" max="1030" width="14.44140625" style="1" customWidth="1"/>
    <col min="1031" max="1031" width="13" style="1" customWidth="1"/>
    <col min="1032" max="1032" width="14.6640625" style="1" customWidth="1"/>
    <col min="1033" max="1033" width="12.88671875" style="1" customWidth="1"/>
    <col min="1034" max="1034" width="14.33203125" style="1" customWidth="1"/>
    <col min="1035" max="1035" width="13.88671875" style="1" bestFit="1" customWidth="1"/>
    <col min="1036" max="1037" width="12.33203125" style="1" customWidth="1"/>
    <col min="1038" max="1038" width="14.44140625" style="1" customWidth="1"/>
    <col min="1039" max="1277" width="9" style="1"/>
    <col min="1278" max="1278" width="4.6640625" style="1" customWidth="1"/>
    <col min="1279" max="1279" width="13.44140625" style="1" customWidth="1"/>
    <col min="1280" max="1284" width="13.6640625" style="1" customWidth="1"/>
    <col min="1285" max="1285" width="14.88671875" style="1" customWidth="1"/>
    <col min="1286" max="1286" width="14.44140625" style="1" customWidth="1"/>
    <col min="1287" max="1287" width="13" style="1" customWidth="1"/>
    <col min="1288" max="1288" width="14.6640625" style="1" customWidth="1"/>
    <col min="1289" max="1289" width="12.88671875" style="1" customWidth="1"/>
    <col min="1290" max="1290" width="14.33203125" style="1" customWidth="1"/>
    <col min="1291" max="1291" width="13.88671875" style="1" bestFit="1" customWidth="1"/>
    <col min="1292" max="1293" width="12.33203125" style="1" customWidth="1"/>
    <col min="1294" max="1294" width="14.44140625" style="1" customWidth="1"/>
    <col min="1295" max="1533" width="9" style="1"/>
    <col min="1534" max="1534" width="4.6640625" style="1" customWidth="1"/>
    <col min="1535" max="1535" width="13.44140625" style="1" customWidth="1"/>
    <col min="1536" max="1540" width="13.6640625" style="1" customWidth="1"/>
    <col min="1541" max="1541" width="14.88671875" style="1" customWidth="1"/>
    <col min="1542" max="1542" width="14.44140625" style="1" customWidth="1"/>
    <col min="1543" max="1543" width="13" style="1" customWidth="1"/>
    <col min="1544" max="1544" width="14.6640625" style="1" customWidth="1"/>
    <col min="1545" max="1545" width="12.88671875" style="1" customWidth="1"/>
    <col min="1546" max="1546" width="14.33203125" style="1" customWidth="1"/>
    <col min="1547" max="1547" width="13.88671875" style="1" bestFit="1" customWidth="1"/>
    <col min="1548" max="1549" width="12.33203125" style="1" customWidth="1"/>
    <col min="1550" max="1550" width="14.44140625" style="1" customWidth="1"/>
    <col min="1551" max="1789" width="9" style="1"/>
    <col min="1790" max="1790" width="4.6640625" style="1" customWidth="1"/>
    <col min="1791" max="1791" width="13.44140625" style="1" customWidth="1"/>
    <col min="1792" max="1796" width="13.6640625" style="1" customWidth="1"/>
    <col min="1797" max="1797" width="14.88671875" style="1" customWidth="1"/>
    <col min="1798" max="1798" width="14.44140625" style="1" customWidth="1"/>
    <col min="1799" max="1799" width="13" style="1" customWidth="1"/>
    <col min="1800" max="1800" width="14.6640625" style="1" customWidth="1"/>
    <col min="1801" max="1801" width="12.88671875" style="1" customWidth="1"/>
    <col min="1802" max="1802" width="14.33203125" style="1" customWidth="1"/>
    <col min="1803" max="1803" width="13.88671875" style="1" bestFit="1" customWidth="1"/>
    <col min="1804" max="1805" width="12.33203125" style="1" customWidth="1"/>
    <col min="1806" max="1806" width="14.44140625" style="1" customWidth="1"/>
    <col min="1807" max="2045" width="9" style="1"/>
    <col min="2046" max="2046" width="4.6640625" style="1" customWidth="1"/>
    <col min="2047" max="2047" width="13.44140625" style="1" customWidth="1"/>
    <col min="2048" max="2052" width="13.6640625" style="1" customWidth="1"/>
    <col min="2053" max="2053" width="14.88671875" style="1" customWidth="1"/>
    <col min="2054" max="2054" width="14.44140625" style="1" customWidth="1"/>
    <col min="2055" max="2055" width="13" style="1" customWidth="1"/>
    <col min="2056" max="2056" width="14.6640625" style="1" customWidth="1"/>
    <col min="2057" max="2057" width="12.88671875" style="1" customWidth="1"/>
    <col min="2058" max="2058" width="14.33203125" style="1" customWidth="1"/>
    <col min="2059" max="2059" width="13.88671875" style="1" bestFit="1" customWidth="1"/>
    <col min="2060" max="2061" width="12.33203125" style="1" customWidth="1"/>
    <col min="2062" max="2062" width="14.44140625" style="1" customWidth="1"/>
    <col min="2063" max="2301" width="9" style="1"/>
    <col min="2302" max="2302" width="4.6640625" style="1" customWidth="1"/>
    <col min="2303" max="2303" width="13.44140625" style="1" customWidth="1"/>
    <col min="2304" max="2308" width="13.6640625" style="1" customWidth="1"/>
    <col min="2309" max="2309" width="14.88671875" style="1" customWidth="1"/>
    <col min="2310" max="2310" width="14.44140625" style="1" customWidth="1"/>
    <col min="2311" max="2311" width="13" style="1" customWidth="1"/>
    <col min="2312" max="2312" width="14.6640625" style="1" customWidth="1"/>
    <col min="2313" max="2313" width="12.88671875" style="1" customWidth="1"/>
    <col min="2314" max="2314" width="14.33203125" style="1" customWidth="1"/>
    <col min="2315" max="2315" width="13.88671875" style="1" bestFit="1" customWidth="1"/>
    <col min="2316" max="2317" width="12.33203125" style="1" customWidth="1"/>
    <col min="2318" max="2318" width="14.44140625" style="1" customWidth="1"/>
    <col min="2319" max="2557" width="9" style="1"/>
    <col min="2558" max="2558" width="4.6640625" style="1" customWidth="1"/>
    <col min="2559" max="2559" width="13.44140625" style="1" customWidth="1"/>
    <col min="2560" max="2564" width="13.6640625" style="1" customWidth="1"/>
    <col min="2565" max="2565" width="14.88671875" style="1" customWidth="1"/>
    <col min="2566" max="2566" width="14.44140625" style="1" customWidth="1"/>
    <col min="2567" max="2567" width="13" style="1" customWidth="1"/>
    <col min="2568" max="2568" width="14.6640625" style="1" customWidth="1"/>
    <col min="2569" max="2569" width="12.88671875" style="1" customWidth="1"/>
    <col min="2570" max="2570" width="14.33203125" style="1" customWidth="1"/>
    <col min="2571" max="2571" width="13.88671875" style="1" bestFit="1" customWidth="1"/>
    <col min="2572" max="2573" width="12.33203125" style="1" customWidth="1"/>
    <col min="2574" max="2574" width="14.44140625" style="1" customWidth="1"/>
    <col min="2575" max="2813" width="9" style="1"/>
    <col min="2814" max="2814" width="4.6640625" style="1" customWidth="1"/>
    <col min="2815" max="2815" width="13.44140625" style="1" customWidth="1"/>
    <col min="2816" max="2820" width="13.6640625" style="1" customWidth="1"/>
    <col min="2821" max="2821" width="14.88671875" style="1" customWidth="1"/>
    <col min="2822" max="2822" width="14.44140625" style="1" customWidth="1"/>
    <col min="2823" max="2823" width="13" style="1" customWidth="1"/>
    <col min="2824" max="2824" width="14.6640625" style="1" customWidth="1"/>
    <col min="2825" max="2825" width="12.88671875" style="1" customWidth="1"/>
    <col min="2826" max="2826" width="14.33203125" style="1" customWidth="1"/>
    <col min="2827" max="2827" width="13.88671875" style="1" bestFit="1" customWidth="1"/>
    <col min="2828" max="2829" width="12.33203125" style="1" customWidth="1"/>
    <col min="2830" max="2830" width="14.44140625" style="1" customWidth="1"/>
    <col min="2831" max="3069" width="9" style="1"/>
    <col min="3070" max="3070" width="4.6640625" style="1" customWidth="1"/>
    <col min="3071" max="3071" width="13.44140625" style="1" customWidth="1"/>
    <col min="3072" max="3076" width="13.6640625" style="1" customWidth="1"/>
    <col min="3077" max="3077" width="14.88671875" style="1" customWidth="1"/>
    <col min="3078" max="3078" width="14.44140625" style="1" customWidth="1"/>
    <col min="3079" max="3079" width="13" style="1" customWidth="1"/>
    <col min="3080" max="3080" width="14.6640625" style="1" customWidth="1"/>
    <col min="3081" max="3081" width="12.88671875" style="1" customWidth="1"/>
    <col min="3082" max="3082" width="14.33203125" style="1" customWidth="1"/>
    <col min="3083" max="3083" width="13.88671875" style="1" bestFit="1" customWidth="1"/>
    <col min="3084" max="3085" width="12.33203125" style="1" customWidth="1"/>
    <col min="3086" max="3086" width="14.44140625" style="1" customWidth="1"/>
    <col min="3087" max="3325" width="9" style="1"/>
    <col min="3326" max="3326" width="4.6640625" style="1" customWidth="1"/>
    <col min="3327" max="3327" width="13.44140625" style="1" customWidth="1"/>
    <col min="3328" max="3332" width="13.6640625" style="1" customWidth="1"/>
    <col min="3333" max="3333" width="14.88671875" style="1" customWidth="1"/>
    <col min="3334" max="3334" width="14.44140625" style="1" customWidth="1"/>
    <col min="3335" max="3335" width="13" style="1" customWidth="1"/>
    <col min="3336" max="3336" width="14.6640625" style="1" customWidth="1"/>
    <col min="3337" max="3337" width="12.88671875" style="1" customWidth="1"/>
    <col min="3338" max="3338" width="14.33203125" style="1" customWidth="1"/>
    <col min="3339" max="3339" width="13.88671875" style="1" bestFit="1" customWidth="1"/>
    <col min="3340" max="3341" width="12.33203125" style="1" customWidth="1"/>
    <col min="3342" max="3342" width="14.44140625" style="1" customWidth="1"/>
    <col min="3343" max="3581" width="9" style="1"/>
    <col min="3582" max="3582" width="4.6640625" style="1" customWidth="1"/>
    <col min="3583" max="3583" width="13.44140625" style="1" customWidth="1"/>
    <col min="3584" max="3588" width="13.6640625" style="1" customWidth="1"/>
    <col min="3589" max="3589" width="14.88671875" style="1" customWidth="1"/>
    <col min="3590" max="3590" width="14.44140625" style="1" customWidth="1"/>
    <col min="3591" max="3591" width="13" style="1" customWidth="1"/>
    <col min="3592" max="3592" width="14.6640625" style="1" customWidth="1"/>
    <col min="3593" max="3593" width="12.88671875" style="1" customWidth="1"/>
    <col min="3594" max="3594" width="14.33203125" style="1" customWidth="1"/>
    <col min="3595" max="3595" width="13.88671875" style="1" bestFit="1" customWidth="1"/>
    <col min="3596" max="3597" width="12.33203125" style="1" customWidth="1"/>
    <col min="3598" max="3598" width="14.44140625" style="1" customWidth="1"/>
    <col min="3599" max="3837" width="9" style="1"/>
    <col min="3838" max="3838" width="4.6640625" style="1" customWidth="1"/>
    <col min="3839" max="3839" width="13.44140625" style="1" customWidth="1"/>
    <col min="3840" max="3844" width="13.6640625" style="1" customWidth="1"/>
    <col min="3845" max="3845" width="14.88671875" style="1" customWidth="1"/>
    <col min="3846" max="3846" width="14.44140625" style="1" customWidth="1"/>
    <col min="3847" max="3847" width="13" style="1" customWidth="1"/>
    <col min="3848" max="3848" width="14.6640625" style="1" customWidth="1"/>
    <col min="3849" max="3849" width="12.88671875" style="1" customWidth="1"/>
    <col min="3850" max="3850" width="14.33203125" style="1" customWidth="1"/>
    <col min="3851" max="3851" width="13.88671875" style="1" bestFit="1" customWidth="1"/>
    <col min="3852" max="3853" width="12.33203125" style="1" customWidth="1"/>
    <col min="3854" max="3854" width="14.44140625" style="1" customWidth="1"/>
    <col min="3855" max="4093" width="9" style="1"/>
    <col min="4094" max="4094" width="4.6640625" style="1" customWidth="1"/>
    <col min="4095" max="4095" width="13.44140625" style="1" customWidth="1"/>
    <col min="4096" max="4100" width="13.6640625" style="1" customWidth="1"/>
    <col min="4101" max="4101" width="14.88671875" style="1" customWidth="1"/>
    <col min="4102" max="4102" width="14.44140625" style="1" customWidth="1"/>
    <col min="4103" max="4103" width="13" style="1" customWidth="1"/>
    <col min="4104" max="4104" width="14.6640625" style="1" customWidth="1"/>
    <col min="4105" max="4105" width="12.88671875" style="1" customWidth="1"/>
    <col min="4106" max="4106" width="14.33203125" style="1" customWidth="1"/>
    <col min="4107" max="4107" width="13.88671875" style="1" bestFit="1" customWidth="1"/>
    <col min="4108" max="4109" width="12.33203125" style="1" customWidth="1"/>
    <col min="4110" max="4110" width="14.44140625" style="1" customWidth="1"/>
    <col min="4111" max="4349" width="9" style="1"/>
    <col min="4350" max="4350" width="4.6640625" style="1" customWidth="1"/>
    <col min="4351" max="4351" width="13.44140625" style="1" customWidth="1"/>
    <col min="4352" max="4356" width="13.6640625" style="1" customWidth="1"/>
    <col min="4357" max="4357" width="14.88671875" style="1" customWidth="1"/>
    <col min="4358" max="4358" width="14.44140625" style="1" customWidth="1"/>
    <col min="4359" max="4359" width="13" style="1" customWidth="1"/>
    <col min="4360" max="4360" width="14.6640625" style="1" customWidth="1"/>
    <col min="4361" max="4361" width="12.88671875" style="1" customWidth="1"/>
    <col min="4362" max="4362" width="14.33203125" style="1" customWidth="1"/>
    <col min="4363" max="4363" width="13.88671875" style="1" bestFit="1" customWidth="1"/>
    <col min="4364" max="4365" width="12.33203125" style="1" customWidth="1"/>
    <col min="4366" max="4366" width="14.44140625" style="1" customWidth="1"/>
    <col min="4367" max="4605" width="9" style="1"/>
    <col min="4606" max="4606" width="4.6640625" style="1" customWidth="1"/>
    <col min="4607" max="4607" width="13.44140625" style="1" customWidth="1"/>
    <col min="4608" max="4612" width="13.6640625" style="1" customWidth="1"/>
    <col min="4613" max="4613" width="14.88671875" style="1" customWidth="1"/>
    <col min="4614" max="4614" width="14.44140625" style="1" customWidth="1"/>
    <col min="4615" max="4615" width="13" style="1" customWidth="1"/>
    <col min="4616" max="4616" width="14.6640625" style="1" customWidth="1"/>
    <col min="4617" max="4617" width="12.88671875" style="1" customWidth="1"/>
    <col min="4618" max="4618" width="14.33203125" style="1" customWidth="1"/>
    <col min="4619" max="4619" width="13.88671875" style="1" bestFit="1" customWidth="1"/>
    <col min="4620" max="4621" width="12.33203125" style="1" customWidth="1"/>
    <col min="4622" max="4622" width="14.44140625" style="1" customWidth="1"/>
    <col min="4623" max="4861" width="9" style="1"/>
    <col min="4862" max="4862" width="4.6640625" style="1" customWidth="1"/>
    <col min="4863" max="4863" width="13.44140625" style="1" customWidth="1"/>
    <col min="4864" max="4868" width="13.6640625" style="1" customWidth="1"/>
    <col min="4869" max="4869" width="14.88671875" style="1" customWidth="1"/>
    <col min="4870" max="4870" width="14.44140625" style="1" customWidth="1"/>
    <col min="4871" max="4871" width="13" style="1" customWidth="1"/>
    <col min="4872" max="4872" width="14.6640625" style="1" customWidth="1"/>
    <col min="4873" max="4873" width="12.88671875" style="1" customWidth="1"/>
    <col min="4874" max="4874" width="14.33203125" style="1" customWidth="1"/>
    <col min="4875" max="4875" width="13.88671875" style="1" bestFit="1" customWidth="1"/>
    <col min="4876" max="4877" width="12.33203125" style="1" customWidth="1"/>
    <col min="4878" max="4878" width="14.44140625" style="1" customWidth="1"/>
    <col min="4879" max="5117" width="9" style="1"/>
    <col min="5118" max="5118" width="4.6640625" style="1" customWidth="1"/>
    <col min="5119" max="5119" width="13.44140625" style="1" customWidth="1"/>
    <col min="5120" max="5124" width="13.6640625" style="1" customWidth="1"/>
    <col min="5125" max="5125" width="14.88671875" style="1" customWidth="1"/>
    <col min="5126" max="5126" width="14.44140625" style="1" customWidth="1"/>
    <col min="5127" max="5127" width="13" style="1" customWidth="1"/>
    <col min="5128" max="5128" width="14.6640625" style="1" customWidth="1"/>
    <col min="5129" max="5129" width="12.88671875" style="1" customWidth="1"/>
    <col min="5130" max="5130" width="14.33203125" style="1" customWidth="1"/>
    <col min="5131" max="5131" width="13.88671875" style="1" bestFit="1" customWidth="1"/>
    <col min="5132" max="5133" width="12.33203125" style="1" customWidth="1"/>
    <col min="5134" max="5134" width="14.44140625" style="1" customWidth="1"/>
    <col min="5135" max="5373" width="9" style="1"/>
    <col min="5374" max="5374" width="4.6640625" style="1" customWidth="1"/>
    <col min="5375" max="5375" width="13.44140625" style="1" customWidth="1"/>
    <col min="5376" max="5380" width="13.6640625" style="1" customWidth="1"/>
    <col min="5381" max="5381" width="14.88671875" style="1" customWidth="1"/>
    <col min="5382" max="5382" width="14.44140625" style="1" customWidth="1"/>
    <col min="5383" max="5383" width="13" style="1" customWidth="1"/>
    <col min="5384" max="5384" width="14.6640625" style="1" customWidth="1"/>
    <col min="5385" max="5385" width="12.88671875" style="1" customWidth="1"/>
    <col min="5386" max="5386" width="14.33203125" style="1" customWidth="1"/>
    <col min="5387" max="5387" width="13.88671875" style="1" bestFit="1" customWidth="1"/>
    <col min="5388" max="5389" width="12.33203125" style="1" customWidth="1"/>
    <col min="5390" max="5390" width="14.44140625" style="1" customWidth="1"/>
    <col min="5391" max="5629" width="9" style="1"/>
    <col min="5630" max="5630" width="4.6640625" style="1" customWidth="1"/>
    <col min="5631" max="5631" width="13.44140625" style="1" customWidth="1"/>
    <col min="5632" max="5636" width="13.6640625" style="1" customWidth="1"/>
    <col min="5637" max="5637" width="14.88671875" style="1" customWidth="1"/>
    <col min="5638" max="5638" width="14.44140625" style="1" customWidth="1"/>
    <col min="5639" max="5639" width="13" style="1" customWidth="1"/>
    <col min="5640" max="5640" width="14.6640625" style="1" customWidth="1"/>
    <col min="5641" max="5641" width="12.88671875" style="1" customWidth="1"/>
    <col min="5642" max="5642" width="14.33203125" style="1" customWidth="1"/>
    <col min="5643" max="5643" width="13.88671875" style="1" bestFit="1" customWidth="1"/>
    <col min="5644" max="5645" width="12.33203125" style="1" customWidth="1"/>
    <col min="5646" max="5646" width="14.44140625" style="1" customWidth="1"/>
    <col min="5647" max="5885" width="9" style="1"/>
    <col min="5886" max="5886" width="4.6640625" style="1" customWidth="1"/>
    <col min="5887" max="5887" width="13.44140625" style="1" customWidth="1"/>
    <col min="5888" max="5892" width="13.6640625" style="1" customWidth="1"/>
    <col min="5893" max="5893" width="14.88671875" style="1" customWidth="1"/>
    <col min="5894" max="5894" width="14.44140625" style="1" customWidth="1"/>
    <col min="5895" max="5895" width="13" style="1" customWidth="1"/>
    <col min="5896" max="5896" width="14.6640625" style="1" customWidth="1"/>
    <col min="5897" max="5897" width="12.88671875" style="1" customWidth="1"/>
    <col min="5898" max="5898" width="14.33203125" style="1" customWidth="1"/>
    <col min="5899" max="5899" width="13.88671875" style="1" bestFit="1" customWidth="1"/>
    <col min="5900" max="5901" width="12.33203125" style="1" customWidth="1"/>
    <col min="5902" max="5902" width="14.44140625" style="1" customWidth="1"/>
    <col min="5903" max="6141" width="9" style="1"/>
    <col min="6142" max="6142" width="4.6640625" style="1" customWidth="1"/>
    <col min="6143" max="6143" width="13.44140625" style="1" customWidth="1"/>
    <col min="6144" max="6148" width="13.6640625" style="1" customWidth="1"/>
    <col min="6149" max="6149" width="14.88671875" style="1" customWidth="1"/>
    <col min="6150" max="6150" width="14.44140625" style="1" customWidth="1"/>
    <col min="6151" max="6151" width="13" style="1" customWidth="1"/>
    <col min="6152" max="6152" width="14.6640625" style="1" customWidth="1"/>
    <col min="6153" max="6153" width="12.88671875" style="1" customWidth="1"/>
    <col min="6154" max="6154" width="14.33203125" style="1" customWidth="1"/>
    <col min="6155" max="6155" width="13.88671875" style="1" bestFit="1" customWidth="1"/>
    <col min="6156" max="6157" width="12.33203125" style="1" customWidth="1"/>
    <col min="6158" max="6158" width="14.44140625" style="1" customWidth="1"/>
    <col min="6159" max="6397" width="9" style="1"/>
    <col min="6398" max="6398" width="4.6640625" style="1" customWidth="1"/>
    <col min="6399" max="6399" width="13.44140625" style="1" customWidth="1"/>
    <col min="6400" max="6404" width="13.6640625" style="1" customWidth="1"/>
    <col min="6405" max="6405" width="14.88671875" style="1" customWidth="1"/>
    <col min="6406" max="6406" width="14.44140625" style="1" customWidth="1"/>
    <col min="6407" max="6407" width="13" style="1" customWidth="1"/>
    <col min="6408" max="6408" width="14.6640625" style="1" customWidth="1"/>
    <col min="6409" max="6409" width="12.88671875" style="1" customWidth="1"/>
    <col min="6410" max="6410" width="14.33203125" style="1" customWidth="1"/>
    <col min="6411" max="6411" width="13.88671875" style="1" bestFit="1" customWidth="1"/>
    <col min="6412" max="6413" width="12.33203125" style="1" customWidth="1"/>
    <col min="6414" max="6414" width="14.44140625" style="1" customWidth="1"/>
    <col min="6415" max="6653" width="9" style="1"/>
    <col min="6654" max="6654" width="4.6640625" style="1" customWidth="1"/>
    <col min="6655" max="6655" width="13.44140625" style="1" customWidth="1"/>
    <col min="6656" max="6660" width="13.6640625" style="1" customWidth="1"/>
    <col min="6661" max="6661" width="14.88671875" style="1" customWidth="1"/>
    <col min="6662" max="6662" width="14.44140625" style="1" customWidth="1"/>
    <col min="6663" max="6663" width="13" style="1" customWidth="1"/>
    <col min="6664" max="6664" width="14.6640625" style="1" customWidth="1"/>
    <col min="6665" max="6665" width="12.88671875" style="1" customWidth="1"/>
    <col min="6666" max="6666" width="14.33203125" style="1" customWidth="1"/>
    <col min="6667" max="6667" width="13.88671875" style="1" bestFit="1" customWidth="1"/>
    <col min="6668" max="6669" width="12.33203125" style="1" customWidth="1"/>
    <col min="6670" max="6670" width="14.44140625" style="1" customWidth="1"/>
    <col min="6671" max="6909" width="9" style="1"/>
    <col min="6910" max="6910" width="4.6640625" style="1" customWidth="1"/>
    <col min="6911" max="6911" width="13.44140625" style="1" customWidth="1"/>
    <col min="6912" max="6916" width="13.6640625" style="1" customWidth="1"/>
    <col min="6917" max="6917" width="14.88671875" style="1" customWidth="1"/>
    <col min="6918" max="6918" width="14.44140625" style="1" customWidth="1"/>
    <col min="6919" max="6919" width="13" style="1" customWidth="1"/>
    <col min="6920" max="6920" width="14.6640625" style="1" customWidth="1"/>
    <col min="6921" max="6921" width="12.88671875" style="1" customWidth="1"/>
    <col min="6922" max="6922" width="14.33203125" style="1" customWidth="1"/>
    <col min="6923" max="6923" width="13.88671875" style="1" bestFit="1" customWidth="1"/>
    <col min="6924" max="6925" width="12.33203125" style="1" customWidth="1"/>
    <col min="6926" max="6926" width="14.44140625" style="1" customWidth="1"/>
    <col min="6927" max="7165" width="9" style="1"/>
    <col min="7166" max="7166" width="4.6640625" style="1" customWidth="1"/>
    <col min="7167" max="7167" width="13.44140625" style="1" customWidth="1"/>
    <col min="7168" max="7172" width="13.6640625" style="1" customWidth="1"/>
    <col min="7173" max="7173" width="14.88671875" style="1" customWidth="1"/>
    <col min="7174" max="7174" width="14.44140625" style="1" customWidth="1"/>
    <col min="7175" max="7175" width="13" style="1" customWidth="1"/>
    <col min="7176" max="7176" width="14.6640625" style="1" customWidth="1"/>
    <col min="7177" max="7177" width="12.88671875" style="1" customWidth="1"/>
    <col min="7178" max="7178" width="14.33203125" style="1" customWidth="1"/>
    <col min="7179" max="7179" width="13.88671875" style="1" bestFit="1" customWidth="1"/>
    <col min="7180" max="7181" width="12.33203125" style="1" customWidth="1"/>
    <col min="7182" max="7182" width="14.44140625" style="1" customWidth="1"/>
    <col min="7183" max="7421" width="9" style="1"/>
    <col min="7422" max="7422" width="4.6640625" style="1" customWidth="1"/>
    <col min="7423" max="7423" width="13.44140625" style="1" customWidth="1"/>
    <col min="7424" max="7428" width="13.6640625" style="1" customWidth="1"/>
    <col min="7429" max="7429" width="14.88671875" style="1" customWidth="1"/>
    <col min="7430" max="7430" width="14.44140625" style="1" customWidth="1"/>
    <col min="7431" max="7431" width="13" style="1" customWidth="1"/>
    <col min="7432" max="7432" width="14.6640625" style="1" customWidth="1"/>
    <col min="7433" max="7433" width="12.88671875" style="1" customWidth="1"/>
    <col min="7434" max="7434" width="14.33203125" style="1" customWidth="1"/>
    <col min="7435" max="7435" width="13.88671875" style="1" bestFit="1" customWidth="1"/>
    <col min="7436" max="7437" width="12.33203125" style="1" customWidth="1"/>
    <col min="7438" max="7438" width="14.44140625" style="1" customWidth="1"/>
    <col min="7439" max="7677" width="9" style="1"/>
    <col min="7678" max="7678" width="4.6640625" style="1" customWidth="1"/>
    <col min="7679" max="7679" width="13.44140625" style="1" customWidth="1"/>
    <col min="7680" max="7684" width="13.6640625" style="1" customWidth="1"/>
    <col min="7685" max="7685" width="14.88671875" style="1" customWidth="1"/>
    <col min="7686" max="7686" width="14.44140625" style="1" customWidth="1"/>
    <col min="7687" max="7687" width="13" style="1" customWidth="1"/>
    <col min="7688" max="7688" width="14.6640625" style="1" customWidth="1"/>
    <col min="7689" max="7689" width="12.88671875" style="1" customWidth="1"/>
    <col min="7690" max="7690" width="14.33203125" style="1" customWidth="1"/>
    <col min="7691" max="7691" width="13.88671875" style="1" bestFit="1" customWidth="1"/>
    <col min="7692" max="7693" width="12.33203125" style="1" customWidth="1"/>
    <col min="7694" max="7694" width="14.44140625" style="1" customWidth="1"/>
    <col min="7695" max="7933" width="9" style="1"/>
    <col min="7934" max="7934" width="4.6640625" style="1" customWidth="1"/>
    <col min="7935" max="7935" width="13.44140625" style="1" customWidth="1"/>
    <col min="7936" max="7940" width="13.6640625" style="1" customWidth="1"/>
    <col min="7941" max="7941" width="14.88671875" style="1" customWidth="1"/>
    <col min="7942" max="7942" width="14.44140625" style="1" customWidth="1"/>
    <col min="7943" max="7943" width="13" style="1" customWidth="1"/>
    <col min="7944" max="7944" width="14.6640625" style="1" customWidth="1"/>
    <col min="7945" max="7945" width="12.88671875" style="1" customWidth="1"/>
    <col min="7946" max="7946" width="14.33203125" style="1" customWidth="1"/>
    <col min="7947" max="7947" width="13.88671875" style="1" bestFit="1" customWidth="1"/>
    <col min="7948" max="7949" width="12.33203125" style="1" customWidth="1"/>
    <col min="7950" max="7950" width="14.44140625" style="1" customWidth="1"/>
    <col min="7951" max="8189" width="9" style="1"/>
    <col min="8190" max="8190" width="4.6640625" style="1" customWidth="1"/>
    <col min="8191" max="8191" width="13.44140625" style="1" customWidth="1"/>
    <col min="8192" max="8196" width="13.6640625" style="1" customWidth="1"/>
    <col min="8197" max="8197" width="14.88671875" style="1" customWidth="1"/>
    <col min="8198" max="8198" width="14.44140625" style="1" customWidth="1"/>
    <col min="8199" max="8199" width="13" style="1" customWidth="1"/>
    <col min="8200" max="8200" width="14.6640625" style="1" customWidth="1"/>
    <col min="8201" max="8201" width="12.88671875" style="1" customWidth="1"/>
    <col min="8202" max="8202" width="14.33203125" style="1" customWidth="1"/>
    <col min="8203" max="8203" width="13.88671875" style="1" bestFit="1" customWidth="1"/>
    <col min="8204" max="8205" width="12.33203125" style="1" customWidth="1"/>
    <col min="8206" max="8206" width="14.44140625" style="1" customWidth="1"/>
    <col min="8207" max="8445" width="9" style="1"/>
    <col min="8446" max="8446" width="4.6640625" style="1" customWidth="1"/>
    <col min="8447" max="8447" width="13.44140625" style="1" customWidth="1"/>
    <col min="8448" max="8452" width="13.6640625" style="1" customWidth="1"/>
    <col min="8453" max="8453" width="14.88671875" style="1" customWidth="1"/>
    <col min="8454" max="8454" width="14.44140625" style="1" customWidth="1"/>
    <col min="8455" max="8455" width="13" style="1" customWidth="1"/>
    <col min="8456" max="8456" width="14.6640625" style="1" customWidth="1"/>
    <col min="8457" max="8457" width="12.88671875" style="1" customWidth="1"/>
    <col min="8458" max="8458" width="14.33203125" style="1" customWidth="1"/>
    <col min="8459" max="8459" width="13.88671875" style="1" bestFit="1" customWidth="1"/>
    <col min="8460" max="8461" width="12.33203125" style="1" customWidth="1"/>
    <col min="8462" max="8462" width="14.44140625" style="1" customWidth="1"/>
    <col min="8463" max="8701" width="9" style="1"/>
    <col min="8702" max="8702" width="4.6640625" style="1" customWidth="1"/>
    <col min="8703" max="8703" width="13.44140625" style="1" customWidth="1"/>
    <col min="8704" max="8708" width="13.6640625" style="1" customWidth="1"/>
    <col min="8709" max="8709" width="14.88671875" style="1" customWidth="1"/>
    <col min="8710" max="8710" width="14.44140625" style="1" customWidth="1"/>
    <col min="8711" max="8711" width="13" style="1" customWidth="1"/>
    <col min="8712" max="8712" width="14.6640625" style="1" customWidth="1"/>
    <col min="8713" max="8713" width="12.88671875" style="1" customWidth="1"/>
    <col min="8714" max="8714" width="14.33203125" style="1" customWidth="1"/>
    <col min="8715" max="8715" width="13.88671875" style="1" bestFit="1" customWidth="1"/>
    <col min="8716" max="8717" width="12.33203125" style="1" customWidth="1"/>
    <col min="8718" max="8718" width="14.44140625" style="1" customWidth="1"/>
    <col min="8719" max="8957" width="9" style="1"/>
    <col min="8958" max="8958" width="4.6640625" style="1" customWidth="1"/>
    <col min="8959" max="8959" width="13.44140625" style="1" customWidth="1"/>
    <col min="8960" max="8964" width="13.6640625" style="1" customWidth="1"/>
    <col min="8965" max="8965" width="14.88671875" style="1" customWidth="1"/>
    <col min="8966" max="8966" width="14.44140625" style="1" customWidth="1"/>
    <col min="8967" max="8967" width="13" style="1" customWidth="1"/>
    <col min="8968" max="8968" width="14.6640625" style="1" customWidth="1"/>
    <col min="8969" max="8969" width="12.88671875" style="1" customWidth="1"/>
    <col min="8970" max="8970" width="14.33203125" style="1" customWidth="1"/>
    <col min="8971" max="8971" width="13.88671875" style="1" bestFit="1" customWidth="1"/>
    <col min="8972" max="8973" width="12.33203125" style="1" customWidth="1"/>
    <col min="8974" max="8974" width="14.44140625" style="1" customWidth="1"/>
    <col min="8975" max="9213" width="9" style="1"/>
    <col min="9214" max="9214" width="4.6640625" style="1" customWidth="1"/>
    <col min="9215" max="9215" width="13.44140625" style="1" customWidth="1"/>
    <col min="9216" max="9220" width="13.6640625" style="1" customWidth="1"/>
    <col min="9221" max="9221" width="14.88671875" style="1" customWidth="1"/>
    <col min="9222" max="9222" width="14.44140625" style="1" customWidth="1"/>
    <col min="9223" max="9223" width="13" style="1" customWidth="1"/>
    <col min="9224" max="9224" width="14.6640625" style="1" customWidth="1"/>
    <col min="9225" max="9225" width="12.88671875" style="1" customWidth="1"/>
    <col min="9226" max="9226" width="14.33203125" style="1" customWidth="1"/>
    <col min="9227" max="9227" width="13.88671875" style="1" bestFit="1" customWidth="1"/>
    <col min="9228" max="9229" width="12.33203125" style="1" customWidth="1"/>
    <col min="9230" max="9230" width="14.44140625" style="1" customWidth="1"/>
    <col min="9231" max="9469" width="9" style="1"/>
    <col min="9470" max="9470" width="4.6640625" style="1" customWidth="1"/>
    <col min="9471" max="9471" width="13.44140625" style="1" customWidth="1"/>
    <col min="9472" max="9476" width="13.6640625" style="1" customWidth="1"/>
    <col min="9477" max="9477" width="14.88671875" style="1" customWidth="1"/>
    <col min="9478" max="9478" width="14.44140625" style="1" customWidth="1"/>
    <col min="9479" max="9479" width="13" style="1" customWidth="1"/>
    <col min="9480" max="9480" width="14.6640625" style="1" customWidth="1"/>
    <col min="9481" max="9481" width="12.88671875" style="1" customWidth="1"/>
    <col min="9482" max="9482" width="14.33203125" style="1" customWidth="1"/>
    <col min="9483" max="9483" width="13.88671875" style="1" bestFit="1" customWidth="1"/>
    <col min="9484" max="9485" width="12.33203125" style="1" customWidth="1"/>
    <col min="9486" max="9486" width="14.44140625" style="1" customWidth="1"/>
    <col min="9487" max="9725" width="9" style="1"/>
    <col min="9726" max="9726" width="4.6640625" style="1" customWidth="1"/>
    <col min="9727" max="9727" width="13.44140625" style="1" customWidth="1"/>
    <col min="9728" max="9732" width="13.6640625" style="1" customWidth="1"/>
    <col min="9733" max="9733" width="14.88671875" style="1" customWidth="1"/>
    <col min="9734" max="9734" width="14.44140625" style="1" customWidth="1"/>
    <col min="9735" max="9735" width="13" style="1" customWidth="1"/>
    <col min="9736" max="9736" width="14.6640625" style="1" customWidth="1"/>
    <col min="9737" max="9737" width="12.88671875" style="1" customWidth="1"/>
    <col min="9738" max="9738" width="14.33203125" style="1" customWidth="1"/>
    <col min="9739" max="9739" width="13.88671875" style="1" bestFit="1" customWidth="1"/>
    <col min="9740" max="9741" width="12.33203125" style="1" customWidth="1"/>
    <col min="9742" max="9742" width="14.44140625" style="1" customWidth="1"/>
    <col min="9743" max="9981" width="9" style="1"/>
    <col min="9982" max="9982" width="4.6640625" style="1" customWidth="1"/>
    <col min="9983" max="9983" width="13.44140625" style="1" customWidth="1"/>
    <col min="9984" max="9988" width="13.6640625" style="1" customWidth="1"/>
    <col min="9989" max="9989" width="14.88671875" style="1" customWidth="1"/>
    <col min="9990" max="9990" width="14.44140625" style="1" customWidth="1"/>
    <col min="9991" max="9991" width="13" style="1" customWidth="1"/>
    <col min="9992" max="9992" width="14.6640625" style="1" customWidth="1"/>
    <col min="9993" max="9993" width="12.88671875" style="1" customWidth="1"/>
    <col min="9994" max="9994" width="14.33203125" style="1" customWidth="1"/>
    <col min="9995" max="9995" width="13.88671875" style="1" bestFit="1" customWidth="1"/>
    <col min="9996" max="9997" width="12.33203125" style="1" customWidth="1"/>
    <col min="9998" max="9998" width="14.44140625" style="1" customWidth="1"/>
    <col min="9999" max="10237" width="9" style="1"/>
    <col min="10238" max="10238" width="4.6640625" style="1" customWidth="1"/>
    <col min="10239" max="10239" width="13.44140625" style="1" customWidth="1"/>
    <col min="10240" max="10244" width="13.6640625" style="1" customWidth="1"/>
    <col min="10245" max="10245" width="14.88671875" style="1" customWidth="1"/>
    <col min="10246" max="10246" width="14.44140625" style="1" customWidth="1"/>
    <col min="10247" max="10247" width="13" style="1" customWidth="1"/>
    <col min="10248" max="10248" width="14.6640625" style="1" customWidth="1"/>
    <col min="10249" max="10249" width="12.88671875" style="1" customWidth="1"/>
    <col min="10250" max="10250" width="14.33203125" style="1" customWidth="1"/>
    <col min="10251" max="10251" width="13.88671875" style="1" bestFit="1" customWidth="1"/>
    <col min="10252" max="10253" width="12.33203125" style="1" customWidth="1"/>
    <col min="10254" max="10254" width="14.44140625" style="1" customWidth="1"/>
    <col min="10255" max="10493" width="9" style="1"/>
    <col min="10494" max="10494" width="4.6640625" style="1" customWidth="1"/>
    <col min="10495" max="10495" width="13.44140625" style="1" customWidth="1"/>
    <col min="10496" max="10500" width="13.6640625" style="1" customWidth="1"/>
    <col min="10501" max="10501" width="14.88671875" style="1" customWidth="1"/>
    <col min="10502" max="10502" width="14.44140625" style="1" customWidth="1"/>
    <col min="10503" max="10503" width="13" style="1" customWidth="1"/>
    <col min="10504" max="10504" width="14.6640625" style="1" customWidth="1"/>
    <col min="10505" max="10505" width="12.88671875" style="1" customWidth="1"/>
    <col min="10506" max="10506" width="14.33203125" style="1" customWidth="1"/>
    <col min="10507" max="10507" width="13.88671875" style="1" bestFit="1" customWidth="1"/>
    <col min="10508" max="10509" width="12.33203125" style="1" customWidth="1"/>
    <col min="10510" max="10510" width="14.44140625" style="1" customWidth="1"/>
    <col min="10511" max="10749" width="9" style="1"/>
    <col min="10750" max="10750" width="4.6640625" style="1" customWidth="1"/>
    <col min="10751" max="10751" width="13.44140625" style="1" customWidth="1"/>
    <col min="10752" max="10756" width="13.6640625" style="1" customWidth="1"/>
    <col min="10757" max="10757" width="14.88671875" style="1" customWidth="1"/>
    <col min="10758" max="10758" width="14.44140625" style="1" customWidth="1"/>
    <col min="10759" max="10759" width="13" style="1" customWidth="1"/>
    <col min="10760" max="10760" width="14.6640625" style="1" customWidth="1"/>
    <col min="10761" max="10761" width="12.88671875" style="1" customWidth="1"/>
    <col min="10762" max="10762" width="14.33203125" style="1" customWidth="1"/>
    <col min="10763" max="10763" width="13.88671875" style="1" bestFit="1" customWidth="1"/>
    <col min="10764" max="10765" width="12.33203125" style="1" customWidth="1"/>
    <col min="10766" max="10766" width="14.44140625" style="1" customWidth="1"/>
    <col min="10767" max="11005" width="9" style="1"/>
    <col min="11006" max="11006" width="4.6640625" style="1" customWidth="1"/>
    <col min="11007" max="11007" width="13.44140625" style="1" customWidth="1"/>
    <col min="11008" max="11012" width="13.6640625" style="1" customWidth="1"/>
    <col min="11013" max="11013" width="14.88671875" style="1" customWidth="1"/>
    <col min="11014" max="11014" width="14.44140625" style="1" customWidth="1"/>
    <col min="11015" max="11015" width="13" style="1" customWidth="1"/>
    <col min="11016" max="11016" width="14.6640625" style="1" customWidth="1"/>
    <col min="11017" max="11017" width="12.88671875" style="1" customWidth="1"/>
    <col min="11018" max="11018" width="14.33203125" style="1" customWidth="1"/>
    <col min="11019" max="11019" width="13.88671875" style="1" bestFit="1" customWidth="1"/>
    <col min="11020" max="11021" width="12.33203125" style="1" customWidth="1"/>
    <col min="11022" max="11022" width="14.44140625" style="1" customWidth="1"/>
    <col min="11023" max="11261" width="9" style="1"/>
    <col min="11262" max="11262" width="4.6640625" style="1" customWidth="1"/>
    <col min="11263" max="11263" width="13.44140625" style="1" customWidth="1"/>
    <col min="11264" max="11268" width="13.6640625" style="1" customWidth="1"/>
    <col min="11269" max="11269" width="14.88671875" style="1" customWidth="1"/>
    <col min="11270" max="11270" width="14.44140625" style="1" customWidth="1"/>
    <col min="11271" max="11271" width="13" style="1" customWidth="1"/>
    <col min="11272" max="11272" width="14.6640625" style="1" customWidth="1"/>
    <col min="11273" max="11273" width="12.88671875" style="1" customWidth="1"/>
    <col min="11274" max="11274" width="14.33203125" style="1" customWidth="1"/>
    <col min="11275" max="11275" width="13.88671875" style="1" bestFit="1" customWidth="1"/>
    <col min="11276" max="11277" width="12.33203125" style="1" customWidth="1"/>
    <col min="11278" max="11278" width="14.44140625" style="1" customWidth="1"/>
    <col min="11279" max="11517" width="9" style="1"/>
    <col min="11518" max="11518" width="4.6640625" style="1" customWidth="1"/>
    <col min="11519" max="11519" width="13.44140625" style="1" customWidth="1"/>
    <col min="11520" max="11524" width="13.6640625" style="1" customWidth="1"/>
    <col min="11525" max="11525" width="14.88671875" style="1" customWidth="1"/>
    <col min="11526" max="11526" width="14.44140625" style="1" customWidth="1"/>
    <col min="11527" max="11527" width="13" style="1" customWidth="1"/>
    <col min="11528" max="11528" width="14.6640625" style="1" customWidth="1"/>
    <col min="11529" max="11529" width="12.88671875" style="1" customWidth="1"/>
    <col min="11530" max="11530" width="14.33203125" style="1" customWidth="1"/>
    <col min="11531" max="11531" width="13.88671875" style="1" bestFit="1" customWidth="1"/>
    <col min="11532" max="11533" width="12.33203125" style="1" customWidth="1"/>
    <col min="11534" max="11534" width="14.44140625" style="1" customWidth="1"/>
    <col min="11535" max="11773" width="9" style="1"/>
    <col min="11774" max="11774" width="4.6640625" style="1" customWidth="1"/>
    <col min="11775" max="11775" width="13.44140625" style="1" customWidth="1"/>
    <col min="11776" max="11780" width="13.6640625" style="1" customWidth="1"/>
    <col min="11781" max="11781" width="14.88671875" style="1" customWidth="1"/>
    <col min="11782" max="11782" width="14.44140625" style="1" customWidth="1"/>
    <col min="11783" max="11783" width="13" style="1" customWidth="1"/>
    <col min="11784" max="11784" width="14.6640625" style="1" customWidth="1"/>
    <col min="11785" max="11785" width="12.88671875" style="1" customWidth="1"/>
    <col min="11786" max="11786" width="14.33203125" style="1" customWidth="1"/>
    <col min="11787" max="11787" width="13.88671875" style="1" bestFit="1" customWidth="1"/>
    <col min="11788" max="11789" width="12.33203125" style="1" customWidth="1"/>
    <col min="11790" max="11790" width="14.44140625" style="1" customWidth="1"/>
    <col min="11791" max="12029" width="9" style="1"/>
    <col min="12030" max="12030" width="4.6640625" style="1" customWidth="1"/>
    <col min="12031" max="12031" width="13.44140625" style="1" customWidth="1"/>
    <col min="12032" max="12036" width="13.6640625" style="1" customWidth="1"/>
    <col min="12037" max="12037" width="14.88671875" style="1" customWidth="1"/>
    <col min="12038" max="12038" width="14.44140625" style="1" customWidth="1"/>
    <col min="12039" max="12039" width="13" style="1" customWidth="1"/>
    <col min="12040" max="12040" width="14.6640625" style="1" customWidth="1"/>
    <col min="12041" max="12041" width="12.88671875" style="1" customWidth="1"/>
    <col min="12042" max="12042" width="14.33203125" style="1" customWidth="1"/>
    <col min="12043" max="12043" width="13.88671875" style="1" bestFit="1" customWidth="1"/>
    <col min="12044" max="12045" width="12.33203125" style="1" customWidth="1"/>
    <col min="12046" max="12046" width="14.44140625" style="1" customWidth="1"/>
    <col min="12047" max="12285" width="9" style="1"/>
    <col min="12286" max="12286" width="4.6640625" style="1" customWidth="1"/>
    <col min="12287" max="12287" width="13.44140625" style="1" customWidth="1"/>
    <col min="12288" max="12292" width="13.6640625" style="1" customWidth="1"/>
    <col min="12293" max="12293" width="14.88671875" style="1" customWidth="1"/>
    <col min="12294" max="12294" width="14.44140625" style="1" customWidth="1"/>
    <col min="12295" max="12295" width="13" style="1" customWidth="1"/>
    <col min="12296" max="12296" width="14.6640625" style="1" customWidth="1"/>
    <col min="12297" max="12297" width="12.88671875" style="1" customWidth="1"/>
    <col min="12298" max="12298" width="14.33203125" style="1" customWidth="1"/>
    <col min="12299" max="12299" width="13.88671875" style="1" bestFit="1" customWidth="1"/>
    <col min="12300" max="12301" width="12.33203125" style="1" customWidth="1"/>
    <col min="12302" max="12302" width="14.44140625" style="1" customWidth="1"/>
    <col min="12303" max="12541" width="9" style="1"/>
    <col min="12542" max="12542" width="4.6640625" style="1" customWidth="1"/>
    <col min="12543" max="12543" width="13.44140625" style="1" customWidth="1"/>
    <col min="12544" max="12548" width="13.6640625" style="1" customWidth="1"/>
    <col min="12549" max="12549" width="14.88671875" style="1" customWidth="1"/>
    <col min="12550" max="12550" width="14.44140625" style="1" customWidth="1"/>
    <col min="12551" max="12551" width="13" style="1" customWidth="1"/>
    <col min="12552" max="12552" width="14.6640625" style="1" customWidth="1"/>
    <col min="12553" max="12553" width="12.88671875" style="1" customWidth="1"/>
    <col min="12554" max="12554" width="14.33203125" style="1" customWidth="1"/>
    <col min="12555" max="12555" width="13.88671875" style="1" bestFit="1" customWidth="1"/>
    <col min="12556" max="12557" width="12.33203125" style="1" customWidth="1"/>
    <col min="12558" max="12558" width="14.44140625" style="1" customWidth="1"/>
    <col min="12559" max="12797" width="9" style="1"/>
    <col min="12798" max="12798" width="4.6640625" style="1" customWidth="1"/>
    <col min="12799" max="12799" width="13.44140625" style="1" customWidth="1"/>
    <col min="12800" max="12804" width="13.6640625" style="1" customWidth="1"/>
    <col min="12805" max="12805" width="14.88671875" style="1" customWidth="1"/>
    <col min="12806" max="12806" width="14.44140625" style="1" customWidth="1"/>
    <col min="12807" max="12807" width="13" style="1" customWidth="1"/>
    <col min="12808" max="12808" width="14.6640625" style="1" customWidth="1"/>
    <col min="12809" max="12809" width="12.88671875" style="1" customWidth="1"/>
    <col min="12810" max="12810" width="14.33203125" style="1" customWidth="1"/>
    <col min="12811" max="12811" width="13.88671875" style="1" bestFit="1" customWidth="1"/>
    <col min="12812" max="12813" width="12.33203125" style="1" customWidth="1"/>
    <col min="12814" max="12814" width="14.44140625" style="1" customWidth="1"/>
    <col min="12815" max="13053" width="9" style="1"/>
    <col min="13054" max="13054" width="4.6640625" style="1" customWidth="1"/>
    <col min="13055" max="13055" width="13.44140625" style="1" customWidth="1"/>
    <col min="13056" max="13060" width="13.6640625" style="1" customWidth="1"/>
    <col min="13061" max="13061" width="14.88671875" style="1" customWidth="1"/>
    <col min="13062" max="13062" width="14.44140625" style="1" customWidth="1"/>
    <col min="13063" max="13063" width="13" style="1" customWidth="1"/>
    <col min="13064" max="13064" width="14.6640625" style="1" customWidth="1"/>
    <col min="13065" max="13065" width="12.88671875" style="1" customWidth="1"/>
    <col min="13066" max="13066" width="14.33203125" style="1" customWidth="1"/>
    <col min="13067" max="13067" width="13.88671875" style="1" bestFit="1" customWidth="1"/>
    <col min="13068" max="13069" width="12.33203125" style="1" customWidth="1"/>
    <col min="13070" max="13070" width="14.44140625" style="1" customWidth="1"/>
    <col min="13071" max="13309" width="9" style="1"/>
    <col min="13310" max="13310" width="4.6640625" style="1" customWidth="1"/>
    <col min="13311" max="13311" width="13.44140625" style="1" customWidth="1"/>
    <col min="13312" max="13316" width="13.6640625" style="1" customWidth="1"/>
    <col min="13317" max="13317" width="14.88671875" style="1" customWidth="1"/>
    <col min="13318" max="13318" width="14.44140625" style="1" customWidth="1"/>
    <col min="13319" max="13319" width="13" style="1" customWidth="1"/>
    <col min="13320" max="13320" width="14.6640625" style="1" customWidth="1"/>
    <col min="13321" max="13321" width="12.88671875" style="1" customWidth="1"/>
    <col min="13322" max="13322" width="14.33203125" style="1" customWidth="1"/>
    <col min="13323" max="13323" width="13.88671875" style="1" bestFit="1" customWidth="1"/>
    <col min="13324" max="13325" width="12.33203125" style="1" customWidth="1"/>
    <col min="13326" max="13326" width="14.44140625" style="1" customWidth="1"/>
    <col min="13327" max="13565" width="9" style="1"/>
    <col min="13566" max="13566" width="4.6640625" style="1" customWidth="1"/>
    <col min="13567" max="13567" width="13.44140625" style="1" customWidth="1"/>
    <col min="13568" max="13572" width="13.6640625" style="1" customWidth="1"/>
    <col min="13573" max="13573" width="14.88671875" style="1" customWidth="1"/>
    <col min="13574" max="13574" width="14.44140625" style="1" customWidth="1"/>
    <col min="13575" max="13575" width="13" style="1" customWidth="1"/>
    <col min="13576" max="13576" width="14.6640625" style="1" customWidth="1"/>
    <col min="13577" max="13577" width="12.88671875" style="1" customWidth="1"/>
    <col min="13578" max="13578" width="14.33203125" style="1" customWidth="1"/>
    <col min="13579" max="13579" width="13.88671875" style="1" bestFit="1" customWidth="1"/>
    <col min="13580" max="13581" width="12.33203125" style="1" customWidth="1"/>
    <col min="13582" max="13582" width="14.44140625" style="1" customWidth="1"/>
    <col min="13583" max="13821" width="9" style="1"/>
    <col min="13822" max="13822" width="4.6640625" style="1" customWidth="1"/>
    <col min="13823" max="13823" width="13.44140625" style="1" customWidth="1"/>
    <col min="13824" max="13828" width="13.6640625" style="1" customWidth="1"/>
    <col min="13829" max="13829" width="14.88671875" style="1" customWidth="1"/>
    <col min="13830" max="13830" width="14.44140625" style="1" customWidth="1"/>
    <col min="13831" max="13831" width="13" style="1" customWidth="1"/>
    <col min="13832" max="13832" width="14.6640625" style="1" customWidth="1"/>
    <col min="13833" max="13833" width="12.88671875" style="1" customWidth="1"/>
    <col min="13834" max="13834" width="14.33203125" style="1" customWidth="1"/>
    <col min="13835" max="13835" width="13.88671875" style="1" bestFit="1" customWidth="1"/>
    <col min="13836" max="13837" width="12.33203125" style="1" customWidth="1"/>
    <col min="13838" max="13838" width="14.44140625" style="1" customWidth="1"/>
    <col min="13839" max="14077" width="9" style="1"/>
    <col min="14078" max="14078" width="4.6640625" style="1" customWidth="1"/>
    <col min="14079" max="14079" width="13.44140625" style="1" customWidth="1"/>
    <col min="14080" max="14084" width="13.6640625" style="1" customWidth="1"/>
    <col min="14085" max="14085" width="14.88671875" style="1" customWidth="1"/>
    <col min="14086" max="14086" width="14.44140625" style="1" customWidth="1"/>
    <col min="14087" max="14087" width="13" style="1" customWidth="1"/>
    <col min="14088" max="14088" width="14.6640625" style="1" customWidth="1"/>
    <col min="14089" max="14089" width="12.88671875" style="1" customWidth="1"/>
    <col min="14090" max="14090" width="14.33203125" style="1" customWidth="1"/>
    <col min="14091" max="14091" width="13.88671875" style="1" bestFit="1" customWidth="1"/>
    <col min="14092" max="14093" width="12.33203125" style="1" customWidth="1"/>
    <col min="14094" max="14094" width="14.44140625" style="1" customWidth="1"/>
    <col min="14095" max="14333" width="9" style="1"/>
    <col min="14334" max="14334" width="4.6640625" style="1" customWidth="1"/>
    <col min="14335" max="14335" width="13.44140625" style="1" customWidth="1"/>
    <col min="14336" max="14340" width="13.6640625" style="1" customWidth="1"/>
    <col min="14341" max="14341" width="14.88671875" style="1" customWidth="1"/>
    <col min="14342" max="14342" width="14.44140625" style="1" customWidth="1"/>
    <col min="14343" max="14343" width="13" style="1" customWidth="1"/>
    <col min="14344" max="14344" width="14.6640625" style="1" customWidth="1"/>
    <col min="14345" max="14345" width="12.88671875" style="1" customWidth="1"/>
    <col min="14346" max="14346" width="14.33203125" style="1" customWidth="1"/>
    <col min="14347" max="14347" width="13.88671875" style="1" bestFit="1" customWidth="1"/>
    <col min="14348" max="14349" width="12.33203125" style="1" customWidth="1"/>
    <col min="14350" max="14350" width="14.44140625" style="1" customWidth="1"/>
    <col min="14351" max="14589" width="9" style="1"/>
    <col min="14590" max="14590" width="4.6640625" style="1" customWidth="1"/>
    <col min="14591" max="14591" width="13.44140625" style="1" customWidth="1"/>
    <col min="14592" max="14596" width="13.6640625" style="1" customWidth="1"/>
    <col min="14597" max="14597" width="14.88671875" style="1" customWidth="1"/>
    <col min="14598" max="14598" width="14.44140625" style="1" customWidth="1"/>
    <col min="14599" max="14599" width="13" style="1" customWidth="1"/>
    <col min="14600" max="14600" width="14.6640625" style="1" customWidth="1"/>
    <col min="14601" max="14601" width="12.88671875" style="1" customWidth="1"/>
    <col min="14602" max="14602" width="14.33203125" style="1" customWidth="1"/>
    <col min="14603" max="14603" width="13.88671875" style="1" bestFit="1" customWidth="1"/>
    <col min="14604" max="14605" width="12.33203125" style="1" customWidth="1"/>
    <col min="14606" max="14606" width="14.44140625" style="1" customWidth="1"/>
    <col min="14607" max="14845" width="9" style="1"/>
    <col min="14846" max="14846" width="4.6640625" style="1" customWidth="1"/>
    <col min="14847" max="14847" width="13.44140625" style="1" customWidth="1"/>
    <col min="14848" max="14852" width="13.6640625" style="1" customWidth="1"/>
    <col min="14853" max="14853" width="14.88671875" style="1" customWidth="1"/>
    <col min="14854" max="14854" width="14.44140625" style="1" customWidth="1"/>
    <col min="14855" max="14855" width="13" style="1" customWidth="1"/>
    <col min="14856" max="14856" width="14.6640625" style="1" customWidth="1"/>
    <col min="14857" max="14857" width="12.88671875" style="1" customWidth="1"/>
    <col min="14858" max="14858" width="14.33203125" style="1" customWidth="1"/>
    <col min="14859" max="14859" width="13.88671875" style="1" bestFit="1" customWidth="1"/>
    <col min="14860" max="14861" width="12.33203125" style="1" customWidth="1"/>
    <col min="14862" max="14862" width="14.44140625" style="1" customWidth="1"/>
    <col min="14863" max="15101" width="9" style="1"/>
    <col min="15102" max="15102" width="4.6640625" style="1" customWidth="1"/>
    <col min="15103" max="15103" width="13.44140625" style="1" customWidth="1"/>
    <col min="15104" max="15108" width="13.6640625" style="1" customWidth="1"/>
    <col min="15109" max="15109" width="14.88671875" style="1" customWidth="1"/>
    <col min="15110" max="15110" width="14.44140625" style="1" customWidth="1"/>
    <col min="15111" max="15111" width="13" style="1" customWidth="1"/>
    <col min="15112" max="15112" width="14.6640625" style="1" customWidth="1"/>
    <col min="15113" max="15113" width="12.88671875" style="1" customWidth="1"/>
    <col min="15114" max="15114" width="14.33203125" style="1" customWidth="1"/>
    <col min="15115" max="15115" width="13.88671875" style="1" bestFit="1" customWidth="1"/>
    <col min="15116" max="15117" width="12.33203125" style="1" customWidth="1"/>
    <col min="15118" max="15118" width="14.44140625" style="1" customWidth="1"/>
    <col min="15119" max="15357" width="9" style="1"/>
    <col min="15358" max="15358" width="4.6640625" style="1" customWidth="1"/>
    <col min="15359" max="15359" width="13.44140625" style="1" customWidth="1"/>
    <col min="15360" max="15364" width="13.6640625" style="1" customWidth="1"/>
    <col min="15365" max="15365" width="14.88671875" style="1" customWidth="1"/>
    <col min="15366" max="15366" width="14.44140625" style="1" customWidth="1"/>
    <col min="15367" max="15367" width="13" style="1" customWidth="1"/>
    <col min="15368" max="15368" width="14.6640625" style="1" customWidth="1"/>
    <col min="15369" max="15369" width="12.88671875" style="1" customWidth="1"/>
    <col min="15370" max="15370" width="14.33203125" style="1" customWidth="1"/>
    <col min="15371" max="15371" width="13.88671875" style="1" bestFit="1" customWidth="1"/>
    <col min="15372" max="15373" width="12.33203125" style="1" customWidth="1"/>
    <col min="15374" max="15374" width="14.44140625" style="1" customWidth="1"/>
    <col min="15375" max="15613" width="9" style="1"/>
    <col min="15614" max="15614" width="4.6640625" style="1" customWidth="1"/>
    <col min="15615" max="15615" width="13.44140625" style="1" customWidth="1"/>
    <col min="15616" max="15620" width="13.6640625" style="1" customWidth="1"/>
    <col min="15621" max="15621" width="14.88671875" style="1" customWidth="1"/>
    <col min="15622" max="15622" width="14.44140625" style="1" customWidth="1"/>
    <col min="15623" max="15623" width="13" style="1" customWidth="1"/>
    <col min="15624" max="15624" width="14.6640625" style="1" customWidth="1"/>
    <col min="15625" max="15625" width="12.88671875" style="1" customWidth="1"/>
    <col min="15626" max="15626" width="14.33203125" style="1" customWidth="1"/>
    <col min="15627" max="15627" width="13.88671875" style="1" bestFit="1" customWidth="1"/>
    <col min="15628" max="15629" width="12.33203125" style="1" customWidth="1"/>
    <col min="15630" max="15630" width="14.44140625" style="1" customWidth="1"/>
    <col min="15631" max="15869" width="9" style="1"/>
    <col min="15870" max="15870" width="4.6640625" style="1" customWidth="1"/>
    <col min="15871" max="15871" width="13.44140625" style="1" customWidth="1"/>
    <col min="15872" max="15876" width="13.6640625" style="1" customWidth="1"/>
    <col min="15877" max="15877" width="14.88671875" style="1" customWidth="1"/>
    <col min="15878" max="15878" width="14.44140625" style="1" customWidth="1"/>
    <col min="15879" max="15879" width="13" style="1" customWidth="1"/>
    <col min="15880" max="15880" width="14.6640625" style="1" customWidth="1"/>
    <col min="15881" max="15881" width="12.88671875" style="1" customWidth="1"/>
    <col min="15882" max="15882" width="14.33203125" style="1" customWidth="1"/>
    <col min="15883" max="15883" width="13.88671875" style="1" bestFit="1" customWidth="1"/>
    <col min="15884" max="15885" width="12.33203125" style="1" customWidth="1"/>
    <col min="15886" max="15886" width="14.44140625" style="1" customWidth="1"/>
    <col min="15887" max="16125" width="9" style="1"/>
    <col min="16126" max="16126" width="4.6640625" style="1" customWidth="1"/>
    <col min="16127" max="16127" width="13.44140625" style="1" customWidth="1"/>
    <col min="16128" max="16132" width="13.6640625" style="1" customWidth="1"/>
    <col min="16133" max="16133" width="14.88671875" style="1" customWidth="1"/>
    <col min="16134" max="16134" width="14.44140625" style="1" customWidth="1"/>
    <col min="16135" max="16135" width="13" style="1" customWidth="1"/>
    <col min="16136" max="16136" width="14.6640625" style="1" customWidth="1"/>
    <col min="16137" max="16137" width="12.88671875" style="1" customWidth="1"/>
    <col min="16138" max="16138" width="14.33203125" style="1" customWidth="1"/>
    <col min="16139" max="16139" width="13.88671875" style="1" bestFit="1" customWidth="1"/>
    <col min="16140" max="16141" width="12.33203125" style="1" customWidth="1"/>
    <col min="16142" max="16142" width="14.44140625" style="1" customWidth="1"/>
    <col min="16143" max="16384" width="9" style="1"/>
  </cols>
  <sheetData>
    <row r="1" spans="1:21" ht="30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ht="31.5" customHeight="1">
      <c r="A2" s="77" t="s">
        <v>1</v>
      </c>
      <c r="B2" s="79" t="s">
        <v>2</v>
      </c>
      <c r="C2" s="82" t="s">
        <v>3</v>
      </c>
      <c r="D2" s="84" t="s">
        <v>4</v>
      </c>
      <c r="E2" s="84" t="s">
        <v>5</v>
      </c>
      <c r="F2" s="84" t="s">
        <v>6</v>
      </c>
      <c r="G2" s="84" t="s">
        <v>7</v>
      </c>
      <c r="H2" s="82" t="s">
        <v>8</v>
      </c>
      <c r="I2" s="82" t="s">
        <v>122</v>
      </c>
      <c r="J2" s="66" t="s">
        <v>9</v>
      </c>
      <c r="K2" s="69" t="s">
        <v>10</v>
      </c>
      <c r="L2" s="72" t="s">
        <v>11</v>
      </c>
      <c r="M2" s="75" t="s">
        <v>12</v>
      </c>
      <c r="N2" s="90" t="s">
        <v>13</v>
      </c>
      <c r="O2" s="91"/>
      <c r="P2" s="91"/>
      <c r="Q2" s="56" t="s">
        <v>14</v>
      </c>
      <c r="R2" s="56" t="s">
        <v>15</v>
      </c>
      <c r="S2" s="59" t="s">
        <v>123</v>
      </c>
      <c r="T2" s="62" t="s">
        <v>16</v>
      </c>
      <c r="U2" s="62" t="s">
        <v>17</v>
      </c>
    </row>
    <row r="3" spans="1:21" ht="46.5" customHeight="1">
      <c r="A3" s="78"/>
      <c r="B3" s="80"/>
      <c r="C3" s="83"/>
      <c r="D3" s="85"/>
      <c r="E3" s="85"/>
      <c r="F3" s="87"/>
      <c r="G3" s="87"/>
      <c r="H3" s="83"/>
      <c r="I3" s="82"/>
      <c r="J3" s="67"/>
      <c r="K3" s="70"/>
      <c r="L3" s="73"/>
      <c r="M3" s="75"/>
      <c r="N3" s="89" t="s">
        <v>18</v>
      </c>
      <c r="O3" s="89"/>
      <c r="P3" s="2" t="s">
        <v>19</v>
      </c>
      <c r="Q3" s="57"/>
      <c r="R3" s="57"/>
      <c r="S3" s="60"/>
      <c r="T3" s="63"/>
      <c r="U3" s="63"/>
    </row>
    <row r="4" spans="1:21" ht="80.25" customHeight="1">
      <c r="A4" s="78"/>
      <c r="B4" s="81"/>
      <c r="C4" s="83"/>
      <c r="D4" s="86"/>
      <c r="E4" s="86"/>
      <c r="F4" s="88"/>
      <c r="G4" s="88"/>
      <c r="H4" s="83"/>
      <c r="I4" s="82"/>
      <c r="J4" s="68"/>
      <c r="K4" s="71"/>
      <c r="L4" s="74"/>
      <c r="M4" s="75"/>
      <c r="N4" s="3" t="s">
        <v>20</v>
      </c>
      <c r="O4" s="3" t="s">
        <v>21</v>
      </c>
      <c r="P4" s="3" t="s">
        <v>22</v>
      </c>
      <c r="Q4" s="58"/>
      <c r="R4" s="58"/>
      <c r="S4" s="61"/>
      <c r="T4" s="64"/>
      <c r="U4" s="64"/>
    </row>
    <row r="5" spans="1:21" s="15" customFormat="1" ht="27.9" customHeight="1">
      <c r="A5" s="4">
        <v>1</v>
      </c>
      <c r="B5" s="5" t="s">
        <v>23</v>
      </c>
      <c r="C5" s="6">
        <f>VLOOKUP(B5,'[1]附件六-費用調查表(表一)'!$E$7:$AA$112,9,FALSE)</f>
        <v>196560</v>
      </c>
      <c r="D5" s="6">
        <f>VLOOKUP(B5,'[1]附件六-費用調查表(表一)'!$E$7:$AA$112,10,FALSE)</f>
        <v>311040</v>
      </c>
      <c r="E5" s="6">
        <f>VLOOKUP(B5,'[1]附件六-費用調查表(表一)'!$E$7:$AA$112,11,FALSE)</f>
        <v>45360</v>
      </c>
      <c r="F5" s="6">
        <f>VLOOKUP(B5,'[1]附件六-費用調查表(表一)'!$E$7:$AA$112,13,FALSE)</f>
        <v>17280</v>
      </c>
      <c r="G5" s="6">
        <f>VLOOKUP(B5,'[1]附件六-費用調查表(表一)'!$E$7:$AA$112,14,FALSE)</f>
        <v>21794</v>
      </c>
      <c r="H5" s="6">
        <f>VLOOKUP(B5,'[1]附件六-費用調查表(表一)'!$E$7:$AA$112,15,FALSE)</f>
        <v>11528</v>
      </c>
      <c r="I5" s="7">
        <f t="shared" ref="I5:I36" si="0">SUM(C5:H5)</f>
        <v>603562</v>
      </c>
      <c r="J5" s="8">
        <f>VLOOKUP(B5,'[1]附件六-費用調查表(表一)'!$E$7:$AA$111,17,FALSE)</f>
        <v>9188</v>
      </c>
      <c r="K5" s="9">
        <v>213294</v>
      </c>
      <c r="L5" s="10">
        <v>46938</v>
      </c>
      <c r="M5" s="11">
        <f>VLOOKUP('107學年度第2學期經費核定表'!B5,'[1]附件六-費用調查表(表一)'!$E$7:$AA$111,21,FALSE)</f>
        <v>44003</v>
      </c>
      <c r="N5" s="12">
        <f>VLOOKUP(B5,'[1]附件六-費用調查表(表一)'!$E$7:$AA$111,18,FALSE)</f>
        <v>13770</v>
      </c>
      <c r="O5" s="12">
        <f>87814+4</f>
        <v>87818</v>
      </c>
      <c r="P5" s="12">
        <f>152374+5</f>
        <v>152379</v>
      </c>
      <c r="Q5" s="13">
        <v>0</v>
      </c>
      <c r="R5" s="13">
        <f>E5</f>
        <v>45360</v>
      </c>
      <c r="S5" s="36">
        <f>L5+M5+O5+P5+Q5+R5-J5</f>
        <v>367310</v>
      </c>
      <c r="T5" s="14">
        <f t="shared" ref="T5:T33" si="1">K5</f>
        <v>213294</v>
      </c>
      <c r="U5" s="14">
        <f>S5+T5</f>
        <v>580604</v>
      </c>
    </row>
    <row r="6" spans="1:21" s="18" customFormat="1" ht="27.9" customHeight="1">
      <c r="A6" s="4">
        <v>2</v>
      </c>
      <c r="B6" s="16" t="s">
        <v>24</v>
      </c>
      <c r="C6" s="6">
        <f>VLOOKUP(B6,'[1]附件六-費用調查表(表一)'!$E$7:$AA$112,9,FALSE)</f>
        <v>556920</v>
      </c>
      <c r="D6" s="6">
        <f>VLOOKUP(B6,'[1]附件六-費用調查表(表一)'!$E$7:$AA$112,10,FALSE)</f>
        <v>1226880</v>
      </c>
      <c r="E6" s="6">
        <f>VLOOKUP(B6,'[1]附件六-費用調查表(表一)'!$E$7:$AA$112,11,FALSE)</f>
        <v>128520</v>
      </c>
      <c r="F6" s="6">
        <f>VLOOKUP(B6,'[1]附件六-費用調查表(表一)'!$E$7:$AA$112,13,FALSE)</f>
        <v>59760</v>
      </c>
      <c r="G6" s="6">
        <f>VLOOKUP(B6,'[1]附件六-費用調查表(表一)'!$E$7:$AA$112,14,FALSE)</f>
        <v>0</v>
      </c>
      <c r="H6" s="6">
        <f>VLOOKUP(B6,'[1]附件六-費用調查表(表一)'!$E$7:$AA$112,15,FALSE)</f>
        <v>0</v>
      </c>
      <c r="I6" s="7">
        <f t="shared" si="0"/>
        <v>1972080</v>
      </c>
      <c r="J6" s="8">
        <f>VLOOKUP(B6,'[1]附件六-費用調查表(表一)'!$E$7:$AA$111,17,FALSE)</f>
        <v>0</v>
      </c>
      <c r="K6" s="9">
        <v>461687</v>
      </c>
      <c r="L6" s="17">
        <v>681651</v>
      </c>
      <c r="M6" s="11">
        <f>VLOOKUP('107學年度第2學期經費核定表'!B6,'[1]附件六-費用調查表(表一)'!$E$7:$AA$111,21,FALSE)</f>
        <v>153037</v>
      </c>
      <c r="N6" s="12">
        <f>VLOOKUP(B6,'[1]附件六-費用調查表(表一)'!$E$7:$AA$111,18,FALSE)</f>
        <v>11016</v>
      </c>
      <c r="O6" s="12">
        <f>VLOOKUP(B6,'[1]附件六-費用調查表(表一)'!$E$7:$AA$111,22,FALSE)</f>
        <v>207853</v>
      </c>
      <c r="P6" s="12">
        <f>328309+7</f>
        <v>328316</v>
      </c>
      <c r="Q6" s="13">
        <v>4070</v>
      </c>
      <c r="R6" s="13">
        <f t="shared" ref="R6:R69" si="2">E6</f>
        <v>128520</v>
      </c>
      <c r="S6" s="36">
        <f t="shared" ref="S6:S69" si="3">L6+M6+O6+P6+Q6+R6-J6</f>
        <v>1503447</v>
      </c>
      <c r="T6" s="14">
        <f t="shared" si="1"/>
        <v>461687</v>
      </c>
      <c r="U6" s="14">
        <f t="shared" ref="U6:U69" si="4">S6+T6</f>
        <v>1965134</v>
      </c>
    </row>
    <row r="7" spans="1:21" s="18" customFormat="1" ht="27.9" customHeight="1">
      <c r="A7" s="4">
        <v>3</v>
      </c>
      <c r="B7" s="16" t="s">
        <v>25</v>
      </c>
      <c r="C7" s="6">
        <f>VLOOKUP(B7,'[1]附件六-費用調查表(表一)'!$E$7:$AA$112,9,FALSE)</f>
        <v>345280</v>
      </c>
      <c r="D7" s="6">
        <f>VLOOKUP(B7,'[1]附件六-費用調查表(表一)'!$E$7:$AA$112,10,FALSE)</f>
        <v>599040</v>
      </c>
      <c r="E7" s="6">
        <f>VLOOKUP(B7,'[1]附件六-費用調查表(表一)'!$E$7:$AA$112,11,FALSE)</f>
        <v>79680</v>
      </c>
      <c r="F7" s="6">
        <f>VLOOKUP(B7,'[1]附件六-費用調查表(表一)'!$E$7:$AA$112,13,FALSE)</f>
        <v>32000</v>
      </c>
      <c r="G7" s="6">
        <f>VLOOKUP(B7,'[1]附件六-費用調查表(表一)'!$E$7:$AA$112,14,FALSE)</f>
        <v>45244</v>
      </c>
      <c r="H7" s="6">
        <f>VLOOKUP(B7,'[1]附件六-費用調查表(表一)'!$E$7:$AA$112,15,FALSE)</f>
        <v>24160</v>
      </c>
      <c r="I7" s="7">
        <f t="shared" si="0"/>
        <v>1125404</v>
      </c>
      <c r="J7" s="8">
        <f>VLOOKUP(B7,'[1]附件六-費用調查表(表一)'!$E$7:$AA$111,17,FALSE)</f>
        <v>7063</v>
      </c>
      <c r="K7" s="9">
        <v>283984</v>
      </c>
      <c r="L7" s="17">
        <v>113762</v>
      </c>
      <c r="M7" s="11">
        <f>VLOOKUP('107學年度第2學期經費核定表'!B7,'[1]附件六-費用調查表(表一)'!$E$7:$AA$111,21,FALSE)</f>
        <v>69582</v>
      </c>
      <c r="N7" s="12">
        <f>VLOOKUP(B7,'[1]附件六-費用調查表(表一)'!$E$7:$AA$111,18,FALSE)</f>
        <v>27566</v>
      </c>
      <c r="O7" s="12">
        <f>203787+8</f>
        <v>203795</v>
      </c>
      <c r="P7" s="12">
        <f>347028+7</f>
        <v>347035</v>
      </c>
      <c r="Q7" s="13">
        <v>0</v>
      </c>
      <c r="R7" s="13">
        <f t="shared" si="2"/>
        <v>79680</v>
      </c>
      <c r="S7" s="36">
        <f t="shared" si="3"/>
        <v>806791</v>
      </c>
      <c r="T7" s="14">
        <f t="shared" si="1"/>
        <v>283984</v>
      </c>
      <c r="U7" s="14">
        <f t="shared" si="4"/>
        <v>1090775</v>
      </c>
    </row>
    <row r="8" spans="1:21" s="18" customFormat="1" ht="27.9" customHeight="1">
      <c r="A8" s="4">
        <v>4</v>
      </c>
      <c r="B8" s="16" t="s">
        <v>26</v>
      </c>
      <c r="C8" s="6">
        <f>VLOOKUP(B8,'[1]附件六-費用調查表(表一)'!$E$7:$AA$112,9,FALSE)</f>
        <v>177840</v>
      </c>
      <c r="D8" s="6">
        <f>VLOOKUP(B8,'[1]附件六-費用調查表(表一)'!$E$7:$AA$112,10,FALSE)</f>
        <v>236160</v>
      </c>
      <c r="E8" s="6">
        <f>VLOOKUP(B8,'[1]附件六-費用調查表(表一)'!$E$7:$AA$112,11,FALSE)</f>
        <v>41040</v>
      </c>
      <c r="F8" s="6">
        <f>VLOOKUP(B8,'[1]附件六-費用調查表(表一)'!$E$7:$AA$112,13,FALSE)</f>
        <v>14220</v>
      </c>
      <c r="G8" s="6">
        <f>VLOOKUP(B8,'[1]附件六-費用調查表(表一)'!$E$7:$AA$112,14,FALSE)</f>
        <v>0</v>
      </c>
      <c r="H8" s="6">
        <f>VLOOKUP(B8,'[1]附件六-費用調查表(表一)'!$E$7:$AA$112,15,FALSE)</f>
        <v>0</v>
      </c>
      <c r="I8" s="7">
        <f t="shared" si="0"/>
        <v>469260</v>
      </c>
      <c r="J8" s="8">
        <f>VLOOKUP(B8,'[1]附件六-費用調查表(表一)'!$E$7:$AA$111,17,FALSE)</f>
        <v>476</v>
      </c>
      <c r="K8" s="9">
        <v>55847</v>
      </c>
      <c r="L8" s="17">
        <v>8390</v>
      </c>
      <c r="M8" s="11">
        <f>VLOOKUP('107學年度第2學期經費核定表'!B8,'[1]附件六-費用調查表(表一)'!$E$7:$AA$111,21,FALSE)</f>
        <v>24439</v>
      </c>
      <c r="N8" s="12">
        <f>VLOOKUP(B8,'[1]附件六-費用調查表(表一)'!$E$7:$AA$111,18,FALSE)</f>
        <v>3068</v>
      </c>
      <c r="O8" s="12">
        <f>132749+3</f>
        <v>132752</v>
      </c>
      <c r="P8" s="12">
        <f>VLOOKUP(B8,'[1]附件六-費用調查表(表一)'!$E$7:$AA$111,23,FALSE)</f>
        <v>203724</v>
      </c>
      <c r="Q8" s="13">
        <v>0</v>
      </c>
      <c r="R8" s="13">
        <f t="shared" si="2"/>
        <v>41040</v>
      </c>
      <c r="S8" s="36">
        <f t="shared" si="3"/>
        <v>409869</v>
      </c>
      <c r="T8" s="14">
        <f t="shared" si="1"/>
        <v>55847</v>
      </c>
      <c r="U8" s="14">
        <f t="shared" si="4"/>
        <v>465716</v>
      </c>
    </row>
    <row r="9" spans="1:21" s="18" customFormat="1" ht="27.9" customHeight="1">
      <c r="A9" s="4">
        <v>5</v>
      </c>
      <c r="B9" s="16" t="s">
        <v>27</v>
      </c>
      <c r="C9" s="6">
        <f>VLOOKUP(B9,'[1]附件六-費用調查表(表一)'!$E$7:$AA$112,9,FALSE)</f>
        <v>936000</v>
      </c>
      <c r="D9" s="6">
        <f>VLOOKUP(B9,'[1]附件六-費用調查表(表一)'!$E$7:$AA$112,10,FALSE)</f>
        <v>714240</v>
      </c>
      <c r="E9" s="6">
        <f>VLOOKUP(B9,'[1]附件六-費用調查表(表一)'!$E$7:$AA$112,11,FALSE)</f>
        <v>216000</v>
      </c>
      <c r="F9" s="6">
        <f>VLOOKUP(B9,'[1]附件六-費用調查表(表一)'!$E$7:$AA$112,13,FALSE)</f>
        <v>58320</v>
      </c>
      <c r="G9" s="6">
        <f>VLOOKUP(B9,'[1]附件六-費用調查表(表一)'!$E$7:$AA$112,14,FALSE)</f>
        <v>42062</v>
      </c>
      <c r="H9" s="6">
        <f>VLOOKUP(B9,'[1]附件六-費用調查表(表一)'!$E$7:$AA$112,15,FALSE)</f>
        <v>30543</v>
      </c>
      <c r="I9" s="7">
        <f t="shared" si="0"/>
        <v>1997165</v>
      </c>
      <c r="J9" s="8">
        <v>0</v>
      </c>
      <c r="K9" s="9">
        <v>814912</v>
      </c>
      <c r="L9" s="17">
        <v>293275</v>
      </c>
      <c r="M9" s="11">
        <f>VLOOKUP('107學年度第2學期經費核定表'!B9,'[1]附件六-費用調查表(表一)'!$E$7:$AA$111,21,FALSE)</f>
        <v>76902</v>
      </c>
      <c r="N9" s="12">
        <f>VLOOKUP(B9,'[1]附件六-費用調查表(表一)'!$E$7:$AA$111,18,FALSE)</f>
        <v>53688</v>
      </c>
      <c r="O9" s="12">
        <f>184732+14</f>
        <v>184746</v>
      </c>
      <c r="P9" s="12">
        <f>357628+14</f>
        <v>357642</v>
      </c>
      <c r="Q9" s="13">
        <v>0</v>
      </c>
      <c r="R9" s="13">
        <f t="shared" si="2"/>
        <v>216000</v>
      </c>
      <c r="S9" s="36">
        <f t="shared" si="3"/>
        <v>1128565</v>
      </c>
      <c r="T9" s="14">
        <f t="shared" si="1"/>
        <v>814912</v>
      </c>
      <c r="U9" s="14">
        <f t="shared" si="4"/>
        <v>1943477</v>
      </c>
    </row>
    <row r="10" spans="1:21" s="18" customFormat="1" ht="27.9" customHeight="1">
      <c r="A10" s="4">
        <v>6</v>
      </c>
      <c r="B10" s="16" t="s">
        <v>28</v>
      </c>
      <c r="C10" s="6">
        <f>VLOOKUP(B10,'[1]附件六-費用調查表(表一)'!$E$7:$AA$112,9,FALSE)</f>
        <v>42120</v>
      </c>
      <c r="D10" s="6">
        <f>VLOOKUP(B10,'[1]附件六-費用調查表(表一)'!$E$7:$AA$112,10,FALSE)</f>
        <v>69120</v>
      </c>
      <c r="E10" s="6">
        <f>VLOOKUP(B10,'[1]附件六-費用調查表(表一)'!$E$7:$AA$112,11,FALSE)</f>
        <v>9720</v>
      </c>
      <c r="F10" s="6">
        <f>VLOOKUP(B10,'[1]附件六-費用調查表(表一)'!$E$7:$AA$112,13,FALSE)</f>
        <v>3780</v>
      </c>
      <c r="G10" s="6">
        <f>VLOOKUP(B10,'[1]附件六-費用調查表(表一)'!$E$7:$AA$112,14,FALSE)</f>
        <v>3800</v>
      </c>
      <c r="H10" s="6">
        <f>VLOOKUP(B10,'[1]附件六-費用調查表(表一)'!$E$7:$AA$112,15,FALSE)</f>
        <v>2900</v>
      </c>
      <c r="I10" s="7">
        <f t="shared" si="0"/>
        <v>131440</v>
      </c>
      <c r="J10" s="8">
        <f>VLOOKUP(B10,'[1]附件六-費用調查表(表一)'!$E$7:$AA$111,17,FALSE)</f>
        <v>0</v>
      </c>
      <c r="K10" s="9"/>
      <c r="L10" s="17">
        <v>0</v>
      </c>
      <c r="M10" s="11">
        <f>VLOOKUP('107學年度第2學期經費核定表'!B10,'[1]附件六-費用調查表(表一)'!$E$7:$AA$111,21,FALSE)</f>
        <v>67764</v>
      </c>
      <c r="N10" s="12">
        <f>VLOOKUP(B10,'[1]附件六-費用調查表(表一)'!$E$7:$AA$111,18,FALSE)</f>
        <v>0</v>
      </c>
      <c r="O10" s="12">
        <f>21582+3</f>
        <v>21585</v>
      </c>
      <c r="P10" s="12">
        <f>VLOOKUP(B10,'[1]附件六-費用調查表(表一)'!$E$7:$AA$111,23,FALSE)</f>
        <v>32371</v>
      </c>
      <c r="Q10" s="13">
        <v>6343</v>
      </c>
      <c r="R10" s="13">
        <f t="shared" si="2"/>
        <v>9720</v>
      </c>
      <c r="S10" s="36">
        <f t="shared" si="3"/>
        <v>137783</v>
      </c>
      <c r="T10" s="14">
        <f t="shared" si="1"/>
        <v>0</v>
      </c>
      <c r="U10" s="14">
        <f t="shared" si="4"/>
        <v>137783</v>
      </c>
    </row>
    <row r="11" spans="1:21" s="18" customFormat="1" ht="27.9" customHeight="1">
      <c r="A11" s="4">
        <v>7</v>
      </c>
      <c r="B11" s="16" t="s">
        <v>29</v>
      </c>
      <c r="C11" s="6">
        <f>VLOOKUP(B11,'[1]附件六-費用調查表(表一)'!$E$7:$AA$112,9,FALSE)</f>
        <v>46800</v>
      </c>
      <c r="D11" s="6">
        <f>VLOOKUP(B11,'[1]附件六-費用調查表(表一)'!$E$7:$AA$112,10,FALSE)</f>
        <v>63360</v>
      </c>
      <c r="E11" s="6">
        <f>VLOOKUP(B11,'[1]附件六-費用調查表(表一)'!$E$7:$AA$112,11,FALSE)</f>
        <v>10800</v>
      </c>
      <c r="F11" s="6">
        <f>VLOOKUP(B11,'[1]附件六-費用調查表(表一)'!$E$7:$AA$112,13,FALSE)</f>
        <v>3780</v>
      </c>
      <c r="G11" s="6">
        <f>VLOOKUP(B11,'[1]附件六-費用調查表(表一)'!$E$7:$AA$112,14,FALSE)</f>
        <v>34308</v>
      </c>
      <c r="H11" s="6">
        <f>VLOOKUP(B11,'[1]附件六-費用調查表(表一)'!$E$7:$AA$112,15,FALSE)</f>
        <v>16488</v>
      </c>
      <c r="I11" s="7">
        <f t="shared" si="0"/>
        <v>175536</v>
      </c>
      <c r="J11" s="8">
        <f>VLOOKUP(B11,'[1]附件六-費用調查表(表一)'!$E$7:$AA$111,17,FALSE)</f>
        <v>8520</v>
      </c>
      <c r="K11" s="9">
        <v>23893</v>
      </c>
      <c r="L11" s="17">
        <v>34338</v>
      </c>
      <c r="M11" s="11">
        <f>VLOOKUP('107學年度第2學期經費核定表'!B11,'[1]附件六-費用調查表(表一)'!$E$7:$AA$111,21,FALSE)</f>
        <v>0</v>
      </c>
      <c r="N11" s="12">
        <f>VLOOKUP(B11,'[1]附件六-費用調查表(表一)'!$E$7:$AA$111,18,FALSE)</f>
        <v>3413</v>
      </c>
      <c r="O11" s="12">
        <f>39189+1</f>
        <v>39190</v>
      </c>
      <c r="P11" s="12">
        <f>63901+1</f>
        <v>63902</v>
      </c>
      <c r="Q11" s="13">
        <v>0</v>
      </c>
      <c r="R11" s="13">
        <f t="shared" si="2"/>
        <v>10800</v>
      </c>
      <c r="S11" s="36">
        <f t="shared" si="3"/>
        <v>139710</v>
      </c>
      <c r="T11" s="14">
        <f t="shared" si="1"/>
        <v>23893</v>
      </c>
      <c r="U11" s="14">
        <f t="shared" si="4"/>
        <v>163603</v>
      </c>
    </row>
    <row r="12" spans="1:21" s="18" customFormat="1" ht="27.9" customHeight="1">
      <c r="A12" s="4">
        <v>8</v>
      </c>
      <c r="B12" s="16" t="s">
        <v>30</v>
      </c>
      <c r="C12" s="6">
        <f>VLOOKUP(B12,'[1]附件六-費用調查表(表一)'!$E$7:$AA$112,9,FALSE)</f>
        <v>196560</v>
      </c>
      <c r="D12" s="6">
        <f>VLOOKUP(B12,'[1]附件六-費用調查表(表一)'!$E$7:$AA$112,10,FALSE)</f>
        <v>328320</v>
      </c>
      <c r="E12" s="6">
        <f>VLOOKUP(B12,'[1]附件六-費用調查表(表一)'!$E$7:$AA$112,11,FALSE)</f>
        <v>45360</v>
      </c>
      <c r="F12" s="6">
        <f>VLOOKUP(B12,'[1]附件六-費用調查表(表一)'!$E$7:$AA$112,13,FALSE)</f>
        <v>17820</v>
      </c>
      <c r="G12" s="6">
        <f>VLOOKUP(B12,'[1]附件六-費用調查表(表一)'!$E$7:$AA$112,14,FALSE)</f>
        <v>13635</v>
      </c>
      <c r="H12" s="6">
        <f>VLOOKUP(B12,'[1]附件六-費用調查表(表一)'!$E$7:$AA$112,15,FALSE)</f>
        <v>6756</v>
      </c>
      <c r="I12" s="7">
        <f t="shared" si="0"/>
        <v>608451</v>
      </c>
      <c r="J12" s="8">
        <f>VLOOKUP(B12,'[1]附件六-費用調查表(表一)'!$E$7:$AA$111,17,FALSE)</f>
        <v>1844</v>
      </c>
      <c r="K12" s="9">
        <v>79748</v>
      </c>
      <c r="L12" s="17">
        <v>64696</v>
      </c>
      <c r="M12" s="11">
        <f>VLOOKUP('107學年度第2學期經費核定表'!B12,'[1]附件六-費用調查表(表一)'!$E$7:$AA$111,21,FALSE)</f>
        <v>72373</v>
      </c>
      <c r="N12" s="12">
        <f>VLOOKUP(B12,'[1]附件六-費用調查表(表一)'!$E$7:$AA$111,18,FALSE)</f>
        <v>7287</v>
      </c>
      <c r="O12" s="12">
        <f>131219+5</f>
        <v>131224</v>
      </c>
      <c r="P12" s="12">
        <f>207757+6</f>
        <v>207763</v>
      </c>
      <c r="Q12" s="13">
        <v>0</v>
      </c>
      <c r="R12" s="13">
        <f t="shared" si="2"/>
        <v>45360</v>
      </c>
      <c r="S12" s="36">
        <f t="shared" si="3"/>
        <v>519572</v>
      </c>
      <c r="T12" s="14">
        <f t="shared" si="1"/>
        <v>79748</v>
      </c>
      <c r="U12" s="14">
        <f t="shared" si="4"/>
        <v>599320</v>
      </c>
    </row>
    <row r="13" spans="1:21" s="18" customFormat="1" ht="27.9" customHeight="1">
      <c r="A13" s="4">
        <v>9</v>
      </c>
      <c r="B13" s="16" t="s">
        <v>31</v>
      </c>
      <c r="C13" s="6">
        <f>VLOOKUP(B13,'[1]附件六-費用調查表(表一)'!$E$7:$AA$112,9,FALSE)</f>
        <v>302640</v>
      </c>
      <c r="D13" s="6">
        <f>VLOOKUP(B13,'[1]附件六-費用調查表(表一)'!$E$7:$AA$112,10,FALSE)</f>
        <v>535680</v>
      </c>
      <c r="E13" s="6">
        <f>VLOOKUP(B13,'[1]附件六-費用調查表(表一)'!$E$7:$AA$112,11,FALSE)</f>
        <v>69840</v>
      </c>
      <c r="F13" s="6">
        <f>VLOOKUP(B13,'[1]附件六-費用調查表(表一)'!$E$7:$AA$112,13,FALSE)</f>
        <v>28380</v>
      </c>
      <c r="G13" s="6">
        <f>VLOOKUP(B13,'[1]附件六-費用調查表(表一)'!$E$7:$AA$112,14,FALSE)</f>
        <v>45632</v>
      </c>
      <c r="H13" s="6">
        <f>VLOOKUP(B13,'[1]附件六-費用調查表(表一)'!$E$7:$AA$112,15,FALSE)</f>
        <v>25515</v>
      </c>
      <c r="I13" s="7">
        <f t="shared" si="0"/>
        <v>1007687</v>
      </c>
      <c r="J13" s="8">
        <f>VLOOKUP(B13,'[1]附件六-費用調查表(表一)'!$E$7:$AA$111,17,FALSE)</f>
        <v>0</v>
      </c>
      <c r="K13" s="9">
        <v>359006</v>
      </c>
      <c r="L13" s="17">
        <v>159363</v>
      </c>
      <c r="M13" s="11">
        <f>VLOOKUP('107學年度第2學期經費核定表'!B13,'[1]附件六-費用調查表(表一)'!$E$7:$AA$111,21,FALSE)</f>
        <v>73140</v>
      </c>
      <c r="N13" s="12">
        <f>VLOOKUP(B13,'[1]附件六-費用調查表(表一)'!$E$7:$AA$111,18,FALSE)</f>
        <v>10043</v>
      </c>
      <c r="O13" s="12">
        <f>128487+6</f>
        <v>128493</v>
      </c>
      <c r="P13" s="12">
        <f>207795+7</f>
        <v>207802</v>
      </c>
      <c r="Q13" s="13">
        <v>7080</v>
      </c>
      <c r="R13" s="13">
        <f t="shared" si="2"/>
        <v>69840</v>
      </c>
      <c r="S13" s="36">
        <f t="shared" si="3"/>
        <v>645718</v>
      </c>
      <c r="T13" s="14">
        <f t="shared" si="1"/>
        <v>359006</v>
      </c>
      <c r="U13" s="14">
        <f t="shared" si="4"/>
        <v>1004724</v>
      </c>
    </row>
    <row r="14" spans="1:21" s="18" customFormat="1" ht="27.9" customHeight="1">
      <c r="A14" s="4">
        <v>10</v>
      </c>
      <c r="B14" s="16" t="s">
        <v>32</v>
      </c>
      <c r="C14" s="6">
        <f>VLOOKUP(B14,'[1]附件六-費用調查表(表一)'!$E$7:$AA$112,9,FALSE)</f>
        <v>32760</v>
      </c>
      <c r="D14" s="6">
        <f>VLOOKUP(B14,'[1]附件六-費用調查表(表一)'!$E$7:$AA$112,10,FALSE)</f>
        <v>63360</v>
      </c>
      <c r="E14" s="6">
        <f>VLOOKUP(B14,'[1]附件六-費用調查表(表一)'!$E$7:$AA$112,11,FALSE)</f>
        <v>7560</v>
      </c>
      <c r="F14" s="6">
        <f>VLOOKUP(B14,'[1]附件六-費用調查表(表一)'!$E$7:$AA$112,13,FALSE)</f>
        <v>3240</v>
      </c>
      <c r="G14" s="6">
        <f>VLOOKUP(B14,'[1]附件六-費用調查表(表一)'!$E$7:$AA$112,14,FALSE)</f>
        <v>3420</v>
      </c>
      <c r="H14" s="6">
        <f>VLOOKUP(B14,'[1]附件六-費用調查表(表一)'!$E$7:$AA$112,15,FALSE)</f>
        <v>2664</v>
      </c>
      <c r="I14" s="7">
        <f t="shared" si="0"/>
        <v>113004</v>
      </c>
      <c r="J14" s="8">
        <f>VLOOKUP(B14,'[1]附件六-費用調查表(表一)'!$E$7:$AA$111,17,FALSE)</f>
        <v>0</v>
      </c>
      <c r="K14" s="9"/>
      <c r="L14" s="17">
        <v>86874</v>
      </c>
      <c r="M14" s="11">
        <f>VLOOKUP('107學年度第2學期經費核定表'!B14,'[1]附件六-費用調查表(表一)'!$E$7:$AA$111,21,FALSE)</f>
        <v>0</v>
      </c>
      <c r="N14" s="12">
        <f>VLOOKUP(B14,'[1]附件六-費用調查表(表一)'!$E$7:$AA$111,18,FALSE)</f>
        <v>0</v>
      </c>
      <c r="O14" s="12">
        <f>VLOOKUP(B14,'[1]附件六-費用調查表(表一)'!$E$7:$AA$111,22,FALSE)</f>
        <v>7427</v>
      </c>
      <c r="P14" s="12">
        <f>11139+4</f>
        <v>11143</v>
      </c>
      <c r="Q14" s="13">
        <v>1280</v>
      </c>
      <c r="R14" s="13">
        <f t="shared" si="2"/>
        <v>7560</v>
      </c>
      <c r="S14" s="36">
        <f t="shared" si="3"/>
        <v>114284</v>
      </c>
      <c r="T14" s="14">
        <f t="shared" si="1"/>
        <v>0</v>
      </c>
      <c r="U14" s="14">
        <f t="shared" si="4"/>
        <v>114284</v>
      </c>
    </row>
    <row r="15" spans="1:21" s="18" customFormat="1" ht="27.9" customHeight="1">
      <c r="A15" s="4">
        <v>11</v>
      </c>
      <c r="B15" s="16" t="s">
        <v>33</v>
      </c>
      <c r="C15" s="6">
        <f>VLOOKUP(B15,'[1]附件六-費用調查表(表一)'!$E$7:$AA$112,9,FALSE)</f>
        <v>140400</v>
      </c>
      <c r="D15" s="6">
        <f>VLOOKUP(B15,'[1]附件六-費用調查表(表一)'!$E$7:$AA$112,10,FALSE)</f>
        <v>293760</v>
      </c>
      <c r="E15" s="6">
        <f>VLOOKUP(B15,'[1]附件六-費用調查表(表一)'!$E$7:$AA$112,11,FALSE)</f>
        <v>32400</v>
      </c>
      <c r="F15" s="6">
        <f>VLOOKUP(B15,'[1]附件六-費用調查表(表一)'!$E$7:$AA$112,13,FALSE)</f>
        <v>14580</v>
      </c>
      <c r="G15" s="6">
        <f>VLOOKUP(B15,'[1]附件六-費用調查表(表一)'!$E$7:$AA$112,14,FALSE)</f>
        <v>0</v>
      </c>
      <c r="H15" s="6">
        <f>VLOOKUP(B15,'[1]附件六-費用調查表(表一)'!$E$7:$AA$112,15,FALSE)</f>
        <v>0</v>
      </c>
      <c r="I15" s="7">
        <f t="shared" si="0"/>
        <v>481140</v>
      </c>
      <c r="J15" s="8">
        <f>VLOOKUP(B15,'[1]附件六-費用調查表(表一)'!$E$7:$AA$111,17,FALSE)</f>
        <v>16922</v>
      </c>
      <c r="K15" s="9"/>
      <c r="L15" s="17">
        <v>285525</v>
      </c>
      <c r="M15" s="11">
        <f>VLOOKUP('107學年度第2學期經費核定表'!B15,'[1]附件六-費用調查表(表一)'!$E$7:$AA$111,21,FALSE)</f>
        <v>0</v>
      </c>
      <c r="N15" s="12">
        <f>VLOOKUP(B15,'[1]附件六-費用調查表(表一)'!$E$7:$AA$111,18,FALSE)</f>
        <v>0</v>
      </c>
      <c r="O15" s="12">
        <f>VLOOKUP(B15,'[1]附件六-費用調查表(表一)'!$E$7:$AA$111,22,FALSE)</f>
        <v>65284</v>
      </c>
      <c r="P15" s="12">
        <f>97925+6</f>
        <v>97931</v>
      </c>
      <c r="Q15" s="13">
        <v>0</v>
      </c>
      <c r="R15" s="13">
        <f t="shared" si="2"/>
        <v>32400</v>
      </c>
      <c r="S15" s="36">
        <f t="shared" si="3"/>
        <v>464218</v>
      </c>
      <c r="T15" s="14">
        <f t="shared" si="1"/>
        <v>0</v>
      </c>
      <c r="U15" s="14">
        <f t="shared" si="4"/>
        <v>464218</v>
      </c>
    </row>
    <row r="16" spans="1:21" s="18" customFormat="1" ht="27.9" customHeight="1">
      <c r="A16" s="4">
        <v>12</v>
      </c>
      <c r="B16" s="16" t="s">
        <v>34</v>
      </c>
      <c r="C16" s="6">
        <f>VLOOKUP(B16,'[1]附件六-費用調查表(表一)'!$E$7:$AA$112,9,FALSE)</f>
        <v>39000</v>
      </c>
      <c r="D16" s="6">
        <f>VLOOKUP(B16,'[1]附件六-費用調查表(表一)'!$E$7:$AA$112,10,FALSE)</f>
        <v>28800</v>
      </c>
      <c r="E16" s="6">
        <f>VLOOKUP(B16,'[1]附件六-費用調查表(表一)'!$E$7:$AA$112,11,FALSE)</f>
        <v>9000</v>
      </c>
      <c r="F16" s="6">
        <f>VLOOKUP(B16,'[1]附件六-費用調查表(表一)'!$E$7:$AA$112,13,FALSE)</f>
        <v>2400</v>
      </c>
      <c r="G16" s="6">
        <f>VLOOKUP(B16,'[1]附件六-費用調查表(表一)'!$E$7:$AA$112,14,FALSE)</f>
        <v>0</v>
      </c>
      <c r="H16" s="6">
        <f>VLOOKUP(B16,'[1]附件六-費用調查表(表一)'!$E$7:$AA$112,15,FALSE)</f>
        <v>0</v>
      </c>
      <c r="I16" s="7">
        <f t="shared" si="0"/>
        <v>79200</v>
      </c>
      <c r="J16" s="8">
        <f>VLOOKUP(B16,'[1]附件六-費用調查表(表一)'!$E$7:$AA$111,17,FALSE)</f>
        <v>0</v>
      </c>
      <c r="K16" s="9"/>
      <c r="L16" s="17">
        <v>0</v>
      </c>
      <c r="M16" s="11">
        <f>VLOOKUP('107學年度第2學期經費核定表'!B16,'[1]附件六-費用調查表(表一)'!$E$7:$AA$111,21,FALSE)</f>
        <v>24359</v>
      </c>
      <c r="N16" s="12">
        <f>VLOOKUP(B16,'[1]附件六-費用調查表(表一)'!$E$7:$AA$111,18,FALSE)</f>
        <v>0</v>
      </c>
      <c r="O16" s="12">
        <f>18336+3</f>
        <v>18339</v>
      </c>
      <c r="P16" s="12">
        <f>VLOOKUP(B16,'[1]附件六-費用調查表(表一)'!$E$7:$AA$111,23,FALSE)</f>
        <v>27502</v>
      </c>
      <c r="Q16" s="13">
        <v>3720</v>
      </c>
      <c r="R16" s="13">
        <f t="shared" si="2"/>
        <v>9000</v>
      </c>
      <c r="S16" s="36">
        <f t="shared" si="3"/>
        <v>82920</v>
      </c>
      <c r="T16" s="14">
        <f t="shared" si="1"/>
        <v>0</v>
      </c>
      <c r="U16" s="14">
        <f t="shared" si="4"/>
        <v>82920</v>
      </c>
    </row>
    <row r="17" spans="1:21" s="18" customFormat="1" ht="27.9" customHeight="1">
      <c r="A17" s="4">
        <v>13</v>
      </c>
      <c r="B17" s="16" t="s">
        <v>35</v>
      </c>
      <c r="C17" s="6">
        <f>VLOOKUP(B17,'[1]附件六-費用調查表(表一)'!$E$7:$AA$112,9,FALSE)</f>
        <v>156000</v>
      </c>
      <c r="D17" s="6">
        <f>VLOOKUP(B17,'[1]附件六-費用調查表(表一)'!$E$7:$AA$112,10,FALSE)</f>
        <v>0</v>
      </c>
      <c r="E17" s="6">
        <f>VLOOKUP(B17,'[1]附件六-費用調查表(表一)'!$E$7:$AA$112,11,FALSE)</f>
        <v>36000</v>
      </c>
      <c r="F17" s="6">
        <f>VLOOKUP(B17,'[1]附件六-費用調查表(表一)'!$E$7:$AA$112,13,FALSE)</f>
        <v>6000</v>
      </c>
      <c r="G17" s="6">
        <f>VLOOKUP(B17,'[1]附件六-費用調查表(表一)'!$E$7:$AA$112,14,FALSE)</f>
        <v>0</v>
      </c>
      <c r="H17" s="6">
        <f>VLOOKUP(B17,'[1]附件六-費用調查表(表一)'!$E$7:$AA$112,15,FALSE)</f>
        <v>0</v>
      </c>
      <c r="I17" s="7">
        <f t="shared" si="0"/>
        <v>198000</v>
      </c>
      <c r="J17" s="8">
        <f>VLOOKUP(B17,'[1]附件六-費用調查表(表一)'!$E$7:$AA$111,17,FALSE)</f>
        <v>0</v>
      </c>
      <c r="K17" s="9"/>
      <c r="L17" s="17">
        <v>0</v>
      </c>
      <c r="M17" s="11">
        <f>VLOOKUP('107學年度第2學期經費核定表'!B17,'[1]附件六-費用調查表(表一)'!$E$7:$AA$111,21,FALSE)</f>
        <v>26336</v>
      </c>
      <c r="N17" s="12">
        <f>VLOOKUP(B17,'[1]附件六-費用調查表(表一)'!$E$7:$AA$111,18,FALSE)</f>
        <v>0</v>
      </c>
      <c r="O17" s="12">
        <f>VLOOKUP(B17,'[1]附件六-費用調查表(表一)'!$E$7:$AA$111,22,FALSE)</f>
        <v>54266</v>
      </c>
      <c r="P17" s="12">
        <f>81397+1</f>
        <v>81398</v>
      </c>
      <c r="Q17" s="13">
        <v>0</v>
      </c>
      <c r="R17" s="13">
        <f t="shared" si="2"/>
        <v>36000</v>
      </c>
      <c r="S17" s="36">
        <f t="shared" si="3"/>
        <v>198000</v>
      </c>
      <c r="T17" s="14">
        <f t="shared" si="1"/>
        <v>0</v>
      </c>
      <c r="U17" s="14">
        <f t="shared" si="4"/>
        <v>198000</v>
      </c>
    </row>
    <row r="18" spans="1:21" s="18" customFormat="1" ht="27.9" customHeight="1">
      <c r="A18" s="4">
        <v>14</v>
      </c>
      <c r="B18" s="16" t="s">
        <v>36</v>
      </c>
      <c r="C18" s="6">
        <f>VLOOKUP(B18,'[1]附件六-費用調查表(表一)'!$E$7:$AA$112,9,FALSE)</f>
        <v>252720</v>
      </c>
      <c r="D18" s="6">
        <f>VLOOKUP(B18,'[1]附件六-費用調查表(表一)'!$E$7:$AA$112,10,FALSE)</f>
        <v>183040</v>
      </c>
      <c r="E18" s="6">
        <f>VLOOKUP(B18,'[1]附件六-費用調查表(表一)'!$E$7:$AA$112,11,FALSE)</f>
        <v>58320</v>
      </c>
      <c r="F18" s="6">
        <f>VLOOKUP(B18,'[1]附件六-費用調查表(表一)'!$E$7:$AA$112,13,FALSE)</f>
        <v>15440</v>
      </c>
      <c r="G18" s="6">
        <f>VLOOKUP(B18,'[1]附件六-費用調查表(表一)'!$E$7:$AA$112,14,FALSE)</f>
        <v>7804</v>
      </c>
      <c r="H18" s="6">
        <f>VLOOKUP(B18,'[1]附件六-費用調查表(表一)'!$E$7:$AA$112,15,FALSE)</f>
        <v>3240</v>
      </c>
      <c r="I18" s="7">
        <f t="shared" si="0"/>
        <v>520564</v>
      </c>
      <c r="J18" s="8">
        <f>VLOOKUP(B18,'[1]附件六-費用調查表(表一)'!$E$7:$AA$111,17,FALSE)</f>
        <v>506</v>
      </c>
      <c r="K18" s="9">
        <v>52637</v>
      </c>
      <c r="L18" s="17">
        <v>32842</v>
      </c>
      <c r="M18" s="11">
        <f>VLOOKUP('107學年度第2學期經費核定表'!B18,'[1]附件六-費用調查表(表一)'!$E$7:$AA$111,21,FALSE)</f>
        <v>4089</v>
      </c>
      <c r="N18" s="12">
        <f>VLOOKUP(B18,'[1]附件六-費用調查表(表一)'!$E$7:$AA$111,18,FALSE)</f>
        <v>4964</v>
      </c>
      <c r="O18" s="12">
        <f>VLOOKUP(B18,'[1]附件六-費用調查表(表一)'!$E$7:$AA$111,22,FALSE)</f>
        <v>144104</v>
      </c>
      <c r="P18" s="12">
        <f>223600+8</f>
        <v>223608</v>
      </c>
      <c r="Q18" s="13">
        <v>0</v>
      </c>
      <c r="R18" s="13">
        <f t="shared" si="2"/>
        <v>58320</v>
      </c>
      <c r="S18" s="36">
        <f t="shared" si="3"/>
        <v>462457</v>
      </c>
      <c r="T18" s="14">
        <f t="shared" si="1"/>
        <v>52637</v>
      </c>
      <c r="U18" s="14">
        <f t="shared" si="4"/>
        <v>515094</v>
      </c>
    </row>
    <row r="19" spans="1:21" s="18" customFormat="1" ht="27.9" customHeight="1">
      <c r="A19" s="4">
        <v>15</v>
      </c>
      <c r="B19" s="16" t="s">
        <v>37</v>
      </c>
      <c r="C19" s="6">
        <f>VLOOKUP(B19,'[1]附件六-費用調查表(表一)'!$E$7:$AA$112,9,FALSE)</f>
        <v>48620</v>
      </c>
      <c r="D19" s="6">
        <f>VLOOKUP(B19,'[1]附件六-費用調查表(表一)'!$E$7:$AA$112,10,FALSE)</f>
        <v>92480</v>
      </c>
      <c r="E19" s="6">
        <f>VLOOKUP(B19,'[1]附件六-費用調查表(表一)'!$E$7:$AA$112,11,FALSE)</f>
        <v>11220</v>
      </c>
      <c r="F19" s="6">
        <f>VLOOKUP(B19,'[1]附件六-費用調查表(表一)'!$E$7:$AA$112,13,FALSE)</f>
        <v>4760</v>
      </c>
      <c r="G19" s="6">
        <f>VLOOKUP(B19,'[1]附件六-費用調查表(表一)'!$E$7:$AA$112,14,FALSE)</f>
        <v>0</v>
      </c>
      <c r="H19" s="6">
        <f>VLOOKUP(B19,'[1]附件六-費用調查表(表一)'!$E$7:$AA$112,15,FALSE)</f>
        <v>0</v>
      </c>
      <c r="I19" s="7">
        <f t="shared" si="0"/>
        <v>157080</v>
      </c>
      <c r="J19" s="8">
        <f>VLOOKUP(B19,'[1]附件六-費用調查表(表一)'!$E$7:$AA$111,17,FALSE)</f>
        <v>0</v>
      </c>
      <c r="K19" s="9"/>
      <c r="L19" s="17">
        <v>0</v>
      </c>
      <c r="M19" s="11">
        <f>VLOOKUP('107學年度第2學期經費核定表'!B19,'[1]附件六-費用調查表(表一)'!$E$7:$AA$111,21,FALSE)</f>
        <v>6290</v>
      </c>
      <c r="N19" s="12">
        <f>VLOOKUP(B19,'[1]附件六-費用調查表(表一)'!$E$7:$AA$111,18,FALSE)</f>
        <v>0</v>
      </c>
      <c r="O19" s="12">
        <f>VLOOKUP(B19,'[1]附件六-費用調查表(表一)'!$E$7:$AA$111,22,FALSE)</f>
        <v>55828</v>
      </c>
      <c r="P19" s="12">
        <f>VLOOKUP(B19,'[1]附件六-費用調查表(表一)'!$E$7:$AA$111,23,FALSE)</f>
        <v>83742</v>
      </c>
      <c r="Q19" s="13">
        <v>660</v>
      </c>
      <c r="R19" s="13">
        <f t="shared" si="2"/>
        <v>11220</v>
      </c>
      <c r="S19" s="36">
        <f t="shared" si="3"/>
        <v>157740</v>
      </c>
      <c r="T19" s="14">
        <f t="shared" si="1"/>
        <v>0</v>
      </c>
      <c r="U19" s="14">
        <f t="shared" si="4"/>
        <v>157740</v>
      </c>
    </row>
    <row r="20" spans="1:21" s="18" customFormat="1" ht="27.9" customHeight="1">
      <c r="A20" s="4">
        <v>16</v>
      </c>
      <c r="B20" s="16" t="s">
        <v>38</v>
      </c>
      <c r="C20" s="6">
        <f>VLOOKUP(B20,'[1]附件六-費用調查表(表一)'!$E$7:$AA$112,9,FALSE)</f>
        <v>47580</v>
      </c>
      <c r="D20" s="6">
        <f>VLOOKUP(B20,'[1]附件六-費用調查表(表一)'!$E$7:$AA$112,10,FALSE)</f>
        <v>38400</v>
      </c>
      <c r="E20" s="6">
        <f>VLOOKUP(B20,'[1]附件六-費用調查表(表一)'!$E$7:$AA$112,11,FALSE)</f>
        <v>10980</v>
      </c>
      <c r="F20" s="6">
        <f>VLOOKUP(B20,'[1]附件六-費用調查表(表一)'!$E$7:$AA$112,13,FALSE)</f>
        <v>3030</v>
      </c>
      <c r="G20" s="6">
        <f>VLOOKUP(B20,'[1]附件六-費用調查表(表一)'!$E$7:$AA$112,14,FALSE)</f>
        <v>0</v>
      </c>
      <c r="H20" s="6">
        <f>VLOOKUP(B20,'[1]附件六-費用調查表(表一)'!$E$7:$AA$112,15,FALSE)</f>
        <v>0</v>
      </c>
      <c r="I20" s="7">
        <f t="shared" si="0"/>
        <v>99990</v>
      </c>
      <c r="J20" s="8">
        <f>VLOOKUP(B20,'[1]附件六-費用調查表(表一)'!$E$7:$AA$111,17,FALSE)</f>
        <v>2880</v>
      </c>
      <c r="K20" s="9"/>
      <c r="L20" s="17">
        <v>9310</v>
      </c>
      <c r="M20" s="11">
        <f>VLOOKUP('107學年度第2學期經費核定表'!B20,'[1]附件六-費用調查表(表一)'!$E$7:$AA$111,21,FALSE)</f>
        <v>8653</v>
      </c>
      <c r="N20" s="12">
        <f>VLOOKUP(B20,'[1]附件六-費用調查表(表一)'!$E$7:$AA$111,18,FALSE)</f>
        <v>0</v>
      </c>
      <c r="O20" s="12">
        <f>VLOOKUP(B20,'[1]附件六-費用調查表(表一)'!$E$7:$AA$111,22,FALSE)</f>
        <v>28418</v>
      </c>
      <c r="P20" s="12">
        <f>42626+3</f>
        <v>42629</v>
      </c>
      <c r="Q20" s="13">
        <v>0</v>
      </c>
      <c r="R20" s="13">
        <f t="shared" si="2"/>
        <v>10980</v>
      </c>
      <c r="S20" s="36">
        <f t="shared" si="3"/>
        <v>97110</v>
      </c>
      <c r="T20" s="14">
        <f t="shared" si="1"/>
        <v>0</v>
      </c>
      <c r="U20" s="14">
        <f t="shared" si="4"/>
        <v>97110</v>
      </c>
    </row>
    <row r="21" spans="1:21" s="18" customFormat="1" ht="30.6" customHeight="1">
      <c r="A21" s="4">
        <v>17</v>
      </c>
      <c r="B21" s="16" t="s">
        <v>39</v>
      </c>
      <c r="C21" s="6">
        <f>VLOOKUP(B21,'[1]附件六-費用調查表(表一)'!$E$7:$AA$112,9,FALSE)</f>
        <v>126360</v>
      </c>
      <c r="D21" s="6">
        <f>VLOOKUP(B21,'[1]附件六-費用調查表(表一)'!$E$7:$AA$112,10,FALSE)</f>
        <v>144000</v>
      </c>
      <c r="E21" s="6">
        <f>VLOOKUP(B21,'[1]附件六-費用調查表(表一)'!$E$7:$AA$112,11,FALSE)</f>
        <v>29160</v>
      </c>
      <c r="F21" s="6">
        <f>VLOOKUP(B21,'[1]附件六-費用調查表(表一)'!$E$7:$AA$112,13,FALSE)</f>
        <v>9360</v>
      </c>
      <c r="G21" s="6">
        <f>VLOOKUP(B21,'[1]附件六-費用調查表(表一)'!$E$7:$AA$112,14,FALSE)</f>
        <v>80</v>
      </c>
      <c r="H21" s="6">
        <f>VLOOKUP(B21,'[1]附件六-費用調查表(表一)'!$E$7:$AA$112,15,FALSE)</f>
        <v>4050</v>
      </c>
      <c r="I21" s="7">
        <f t="shared" si="0"/>
        <v>313010</v>
      </c>
      <c r="J21" s="8">
        <f>VLOOKUP(B21,'[1]附件六-費用調查表(表一)'!$E$7:$AA$111,17,FALSE)</f>
        <v>0</v>
      </c>
      <c r="K21" s="9">
        <v>14974</v>
      </c>
      <c r="L21" s="17">
        <v>69405</v>
      </c>
      <c r="M21" s="11">
        <f>VLOOKUP('107學年度第2學期經費核定表'!B21,'[1]附件六-費用調查表(表一)'!$E$7:$AA$111,21,FALSE)</f>
        <v>10142</v>
      </c>
      <c r="N21" s="12">
        <f>VLOOKUP(B21,'[1]附件六-費用調查表(表一)'!$E$7:$AA$111,18,FALSE)</f>
        <v>7728</v>
      </c>
      <c r="O21" s="12">
        <f>VLOOKUP(B21,'[1]附件六-費用調查表(表一)'!$E$7:$AA$111,22,FALSE)</f>
        <v>68002</v>
      </c>
      <c r="P21" s="12">
        <f>113594+5</f>
        <v>113599</v>
      </c>
      <c r="Q21" s="13">
        <v>2520</v>
      </c>
      <c r="R21" s="13">
        <f t="shared" si="2"/>
        <v>29160</v>
      </c>
      <c r="S21" s="36">
        <f t="shared" si="3"/>
        <v>292828</v>
      </c>
      <c r="T21" s="14">
        <f t="shared" si="1"/>
        <v>14974</v>
      </c>
      <c r="U21" s="14">
        <f t="shared" si="4"/>
        <v>307802</v>
      </c>
    </row>
    <row r="22" spans="1:21" s="18" customFormat="1" ht="27.9" customHeight="1">
      <c r="A22" s="4">
        <v>18</v>
      </c>
      <c r="B22" s="16" t="s">
        <v>40</v>
      </c>
      <c r="C22" s="6">
        <f>VLOOKUP(B22,'[1]附件六-費用調查表(表一)'!$E$7:$AA$112,9,FALSE)</f>
        <v>782080</v>
      </c>
      <c r="D22" s="6">
        <f>VLOOKUP(B22,'[1]附件六-費用調查表(表一)'!$E$7:$AA$112,10,FALSE)</f>
        <v>1402240</v>
      </c>
      <c r="E22" s="6">
        <f>VLOOKUP(B22,'[1]附件六-費用調查表(表一)'!$E$7:$AA$112,11,FALSE)</f>
        <v>180480</v>
      </c>
      <c r="F22" s="6">
        <f>VLOOKUP(B22,'[1]附件六-費用調查表(表一)'!$E$7:$AA$112,13,FALSE)</f>
        <v>73900</v>
      </c>
      <c r="G22" s="6">
        <f>VLOOKUP(B22,'[1]附件六-費用調查表(表一)'!$E$7:$AA$112,14,FALSE)</f>
        <v>182200</v>
      </c>
      <c r="H22" s="6">
        <f>VLOOKUP(B22,'[1]附件六-費用調查表(表一)'!$E$7:$AA$112,15,FALSE)</f>
        <v>88500</v>
      </c>
      <c r="I22" s="7">
        <f t="shared" si="0"/>
        <v>2709400</v>
      </c>
      <c r="J22" s="8">
        <f>VLOOKUP(B22,'[1]附件六-費用調查表(表一)'!$E$7:$AA$111,17,FALSE)</f>
        <v>0</v>
      </c>
      <c r="K22" s="9">
        <v>891658</v>
      </c>
      <c r="L22" s="17">
        <v>119966</v>
      </c>
      <c r="M22" s="11">
        <f>298609-188377</f>
        <v>110232</v>
      </c>
      <c r="N22" s="12">
        <f>VLOOKUP(B22,'[1]附件六-費用調查表(表一)'!$E$7:$AA$111,18,FALSE)</f>
        <v>25287</v>
      </c>
      <c r="O22" s="12">
        <f>537529+12</f>
        <v>537541</v>
      </c>
      <c r="P22" s="12">
        <f>844224+12</f>
        <v>844236</v>
      </c>
      <c r="Q22" s="13">
        <v>10336</v>
      </c>
      <c r="R22" s="13">
        <f t="shared" si="2"/>
        <v>180480</v>
      </c>
      <c r="S22" s="36">
        <f t="shared" si="3"/>
        <v>1802791</v>
      </c>
      <c r="T22" s="14">
        <f t="shared" si="1"/>
        <v>891658</v>
      </c>
      <c r="U22" s="14">
        <f t="shared" si="4"/>
        <v>2694449</v>
      </c>
    </row>
    <row r="23" spans="1:21" s="18" customFormat="1" ht="27.9" customHeight="1">
      <c r="A23" s="4">
        <v>19</v>
      </c>
      <c r="B23" s="16" t="s">
        <v>41</v>
      </c>
      <c r="C23" s="6">
        <f>VLOOKUP(B23,'[1]附件六-費用調查表(表一)'!$E$7:$AA$112,9,FALSE)</f>
        <v>580320</v>
      </c>
      <c r="D23" s="6">
        <f>VLOOKUP(B23,'[1]附件六-費用調查表(表一)'!$E$7:$AA$112,10,FALSE)</f>
        <v>489600</v>
      </c>
      <c r="E23" s="6">
        <f>VLOOKUP(B23,'[1]附件六-費用調查表(表一)'!$E$7:$AA$112,11,FALSE)</f>
        <v>133920</v>
      </c>
      <c r="F23" s="6">
        <f>VLOOKUP(B23,'[1]附件六-費用調查表(表一)'!$E$7:$AA$112,13,FALSE)</f>
        <v>37620</v>
      </c>
      <c r="G23" s="6">
        <f>VLOOKUP(B23,'[1]附件六-費用調查表(表一)'!$E$7:$AA$112,14,FALSE)</f>
        <v>78442</v>
      </c>
      <c r="H23" s="6">
        <f>VLOOKUP(B23,'[1]附件六-費用調查表(表一)'!$E$7:$AA$112,15,FALSE)</f>
        <v>38182</v>
      </c>
      <c r="I23" s="7">
        <f t="shared" si="0"/>
        <v>1358084</v>
      </c>
      <c r="J23" s="8">
        <v>0</v>
      </c>
      <c r="K23" s="9">
        <v>568930</v>
      </c>
      <c r="L23" s="17">
        <v>283963</v>
      </c>
      <c r="M23" s="11">
        <f>VLOOKUP('107學年度第2學期經費核定表'!B23,'[1]附件六-費用調查表(表一)'!$E$7:$AA$111,21,FALSE)</f>
        <v>70236</v>
      </c>
      <c r="N23" s="12">
        <f>VLOOKUP(B23,'[1]附件六-費用調查表(表一)'!$E$7:$AA$111,18,FALSE)</f>
        <v>47711</v>
      </c>
      <c r="O23" s="12">
        <f>72697+8</f>
        <v>72705</v>
      </c>
      <c r="P23" s="12">
        <f>180611+4+4</f>
        <v>180619</v>
      </c>
      <c r="Q23" s="13">
        <v>13920</v>
      </c>
      <c r="R23" s="13">
        <f t="shared" si="2"/>
        <v>133920</v>
      </c>
      <c r="S23" s="36">
        <f t="shared" si="3"/>
        <v>755363</v>
      </c>
      <c r="T23" s="14">
        <f t="shared" si="1"/>
        <v>568930</v>
      </c>
      <c r="U23" s="14">
        <f t="shared" si="4"/>
        <v>1324293</v>
      </c>
    </row>
    <row r="24" spans="1:21" s="18" customFormat="1" ht="27.9" customHeight="1">
      <c r="A24" s="4">
        <v>20</v>
      </c>
      <c r="B24" s="16" t="s">
        <v>42</v>
      </c>
      <c r="C24" s="6">
        <f>VLOOKUP(B24,'[1]附件六-費用調查表(表一)'!$E$7:$AA$112,9,FALSE)</f>
        <v>11700</v>
      </c>
      <c r="D24" s="6">
        <f>VLOOKUP(B24,'[1]附件六-費用調查表(表一)'!$E$7:$AA$112,10,FALSE)</f>
        <v>52800</v>
      </c>
      <c r="E24" s="6">
        <f>VLOOKUP(B24,'[1]附件六-費用調查表(表一)'!$E$7:$AA$112,11,FALSE)</f>
        <v>2700</v>
      </c>
      <c r="F24" s="6">
        <f>VLOOKUP(B24,'[1]附件六-費用調查表(表一)'!$E$7:$AA$112,13,FALSE)</f>
        <v>2100</v>
      </c>
      <c r="G24" s="6">
        <f>VLOOKUP(B24,'[1]附件六-費用調查表(表一)'!$E$7:$AA$112,14,FALSE)</f>
        <v>0</v>
      </c>
      <c r="H24" s="6">
        <f>VLOOKUP(B24,'[1]附件六-費用調查表(表一)'!$E$7:$AA$112,15,FALSE)</f>
        <v>0</v>
      </c>
      <c r="I24" s="7">
        <f t="shared" si="0"/>
        <v>69300</v>
      </c>
      <c r="J24" s="8">
        <f>VLOOKUP(B24,'[1]附件六-費用調查表(表一)'!$E$7:$AA$111,17,FALSE)</f>
        <v>0</v>
      </c>
      <c r="K24" s="9"/>
      <c r="L24" s="17">
        <v>24544</v>
      </c>
      <c r="M24" s="11">
        <f>VLOOKUP('107學年度第2學期經費核定表'!B24,'[1]附件六-費用調查表(表一)'!$E$7:$AA$111,21,FALSE)</f>
        <v>0</v>
      </c>
      <c r="N24" s="12">
        <f>VLOOKUP(B24,'[1]附件六-費用調查表(表一)'!$E$7:$AA$111,18,FALSE)</f>
        <v>0</v>
      </c>
      <c r="O24" s="12">
        <f>VLOOKUP(B24,'[1]附件六-費用調查表(表一)'!$E$7:$AA$111,22,FALSE)</f>
        <v>16822</v>
      </c>
      <c r="P24" s="12">
        <f>25232+2</f>
        <v>25234</v>
      </c>
      <c r="Q24" s="13">
        <v>420</v>
      </c>
      <c r="R24" s="13">
        <f t="shared" si="2"/>
        <v>2700</v>
      </c>
      <c r="S24" s="36">
        <f t="shared" si="3"/>
        <v>69720</v>
      </c>
      <c r="T24" s="14">
        <f t="shared" si="1"/>
        <v>0</v>
      </c>
      <c r="U24" s="14">
        <f t="shared" si="4"/>
        <v>69720</v>
      </c>
    </row>
    <row r="25" spans="1:21" s="18" customFormat="1" ht="27.9" customHeight="1">
      <c r="A25" s="4">
        <v>21</v>
      </c>
      <c r="B25" s="16" t="s">
        <v>43</v>
      </c>
      <c r="C25" s="6">
        <f>VLOOKUP(B25,'[1]附件六-費用調查表(表一)'!$E$7:$AA$112,9,FALSE)</f>
        <v>133120</v>
      </c>
      <c r="D25" s="6">
        <f>VLOOKUP(B25,'[1]附件六-費用調查表(表一)'!$E$7:$AA$112,10,FALSE)</f>
        <v>69440</v>
      </c>
      <c r="E25" s="6">
        <f>VLOOKUP(B25,'[1]附件六-費用調查表(表一)'!$E$7:$AA$112,11,FALSE)</f>
        <v>30720</v>
      </c>
      <c r="F25" s="6">
        <f>VLOOKUP(B25,'[1]附件六-費用調查表(表一)'!$E$7:$AA$112,13,FALSE)</f>
        <v>7290</v>
      </c>
      <c r="G25" s="6">
        <f>VLOOKUP(B25,'[1]附件六-費用調查表(表一)'!$E$7:$AA$112,14,FALSE)</f>
        <v>6360</v>
      </c>
      <c r="H25" s="6">
        <f>VLOOKUP(B25,'[1]附件六-費用調查表(表一)'!$E$7:$AA$112,15,FALSE)</f>
        <v>5300</v>
      </c>
      <c r="I25" s="7">
        <f t="shared" si="0"/>
        <v>252230</v>
      </c>
      <c r="J25" s="8">
        <f>VLOOKUP(B25,'[1]附件六-費用調查表(表一)'!$E$7:$AA$111,17,FALSE)</f>
        <v>0</v>
      </c>
      <c r="K25" s="9">
        <v>54846</v>
      </c>
      <c r="L25" s="17">
        <v>22189</v>
      </c>
      <c r="M25" s="11">
        <f>VLOOKUP('107學年度第2學期經費核定表'!B25,'[1]附件六-費用調查表(表一)'!$E$7:$AA$111,21,FALSE)</f>
        <v>59379</v>
      </c>
      <c r="N25" s="12">
        <f>VLOOKUP(B25,'[1]附件六-費用調查表(表一)'!$E$7:$AA$111,18,FALSE)</f>
        <v>2058</v>
      </c>
      <c r="O25" s="12">
        <f>31978+4</f>
        <v>31982</v>
      </c>
      <c r="P25" s="12">
        <f>51052+4</f>
        <v>51056</v>
      </c>
      <c r="Q25" s="13">
        <v>0</v>
      </c>
      <c r="R25" s="13">
        <f t="shared" si="2"/>
        <v>30720</v>
      </c>
      <c r="S25" s="36">
        <f t="shared" si="3"/>
        <v>195326</v>
      </c>
      <c r="T25" s="14">
        <f t="shared" si="1"/>
        <v>54846</v>
      </c>
      <c r="U25" s="14">
        <f t="shared" si="4"/>
        <v>250172</v>
      </c>
    </row>
    <row r="26" spans="1:21" s="18" customFormat="1" ht="27.9" customHeight="1">
      <c r="A26" s="4">
        <v>22</v>
      </c>
      <c r="B26" s="16" t="s">
        <v>44</v>
      </c>
      <c r="C26" s="6">
        <f>VLOOKUP(B26,'[1]附件六-費用調查表(表一)'!$E$7:$AA$112,9,FALSE)</f>
        <v>32760</v>
      </c>
      <c r="D26" s="6">
        <f>VLOOKUP(B26,'[1]附件六-費用調查表(表一)'!$E$7:$AA$112,10,FALSE)</f>
        <v>0</v>
      </c>
      <c r="E26" s="6">
        <f>VLOOKUP(B26,'[1]附件六-費用調查表(表一)'!$E$7:$AA$112,11,FALSE)</f>
        <v>7560</v>
      </c>
      <c r="F26" s="6">
        <f>VLOOKUP(B26,'[1]附件六-費用調查表(表一)'!$E$7:$AA$112,13,FALSE)</f>
        <v>1260</v>
      </c>
      <c r="G26" s="6">
        <f>VLOOKUP(B26,'[1]附件六-費用調查表(表一)'!$E$7:$AA$112,14,FALSE)</f>
        <v>17062</v>
      </c>
      <c r="H26" s="6">
        <f>VLOOKUP(B26,'[1]附件六-費用調查表(表一)'!$E$7:$AA$112,15,FALSE)</f>
        <v>9063</v>
      </c>
      <c r="I26" s="7">
        <f t="shared" si="0"/>
        <v>67705</v>
      </c>
      <c r="J26" s="8">
        <f>VLOOKUP(B26,'[1]附件六-費用調查表(表一)'!$E$7:$AA$111,17,FALSE)</f>
        <v>0</v>
      </c>
      <c r="K26" s="9"/>
      <c r="L26" s="17">
        <v>0</v>
      </c>
      <c r="M26" s="11">
        <f>VLOOKUP('107學年度第2學期經費核定表'!B26,'[1]附件六-費用調查表(表一)'!$E$7:$AA$111,21,FALSE)</f>
        <v>31775</v>
      </c>
      <c r="N26" s="12">
        <f>VLOOKUP(B26,'[1]附件六-費用調查表(表一)'!$E$7:$AA$111,18,FALSE)</f>
        <v>0</v>
      </c>
      <c r="O26" s="12">
        <f>11348+1</f>
        <v>11349</v>
      </c>
      <c r="P26" s="12">
        <f>VLOOKUP(B26,'[1]附件六-費用調查表(表一)'!$E$7:$AA$111,23,FALSE)</f>
        <v>17021</v>
      </c>
      <c r="Q26" s="13">
        <v>360</v>
      </c>
      <c r="R26" s="13">
        <f t="shared" si="2"/>
        <v>7560</v>
      </c>
      <c r="S26" s="36">
        <f t="shared" si="3"/>
        <v>68065</v>
      </c>
      <c r="T26" s="14">
        <f t="shared" si="1"/>
        <v>0</v>
      </c>
      <c r="U26" s="14">
        <f t="shared" si="4"/>
        <v>68065</v>
      </c>
    </row>
    <row r="27" spans="1:21" s="18" customFormat="1" ht="27.9" customHeight="1">
      <c r="A27" s="4">
        <v>23</v>
      </c>
      <c r="B27" s="16" t="s">
        <v>45</v>
      </c>
      <c r="C27" s="6">
        <f>VLOOKUP(B27,'[1]附件六-費用調查表(表一)'!$E$7:$AA$112,9,FALSE)</f>
        <v>285480</v>
      </c>
      <c r="D27" s="6">
        <f>VLOOKUP(B27,'[1]附件六-費用調查表(表一)'!$E$7:$AA$112,10,FALSE)</f>
        <v>86400</v>
      </c>
      <c r="E27" s="6">
        <f>VLOOKUP(B27,'[1]附件六-費用調查表(表一)'!$E$7:$AA$112,11,FALSE)</f>
        <v>65880</v>
      </c>
      <c r="F27" s="6">
        <f>VLOOKUP(B27,'[1]附件六-費用調查表(表一)'!$E$7:$AA$112,13,FALSE)</f>
        <v>13680</v>
      </c>
      <c r="G27" s="6">
        <f>VLOOKUP(B27,'[1]附件六-費用調查表(表一)'!$E$7:$AA$112,14,FALSE)</f>
        <v>23226</v>
      </c>
      <c r="H27" s="6">
        <f>VLOOKUP(B27,'[1]附件六-費用調查表(表一)'!$E$7:$AA$112,15,FALSE)</f>
        <v>19100</v>
      </c>
      <c r="I27" s="7">
        <f t="shared" si="0"/>
        <v>493766</v>
      </c>
      <c r="J27" s="8">
        <f>VLOOKUP(B27,'[1]附件六-費用調查表(表一)'!$E$7:$AA$111,17,FALSE)</f>
        <v>0</v>
      </c>
      <c r="K27" s="9"/>
      <c r="L27" s="17">
        <v>0</v>
      </c>
      <c r="M27" s="11">
        <f>VLOOKUP('107學年度第2學期經費核定表'!B27,'[1]附件六-費用調查表(表一)'!$E$7:$AA$111,21,FALSE)</f>
        <v>131121</v>
      </c>
      <c r="N27" s="12">
        <f>VLOOKUP(B27,'[1]附件六-費用調查表(表一)'!$E$7:$AA$111,18,FALSE)</f>
        <v>0</v>
      </c>
      <c r="O27" s="12">
        <f>118703+4</f>
        <v>118707</v>
      </c>
      <c r="P27" s="12">
        <f>178053+5</f>
        <v>178058</v>
      </c>
      <c r="Q27" s="13">
        <v>4221</v>
      </c>
      <c r="R27" s="13">
        <f t="shared" si="2"/>
        <v>65880</v>
      </c>
      <c r="S27" s="36">
        <f t="shared" si="3"/>
        <v>497987</v>
      </c>
      <c r="T27" s="14">
        <f t="shared" si="1"/>
        <v>0</v>
      </c>
      <c r="U27" s="14">
        <f t="shared" si="4"/>
        <v>497987</v>
      </c>
    </row>
    <row r="28" spans="1:21" s="18" customFormat="1" ht="27.9" customHeight="1">
      <c r="A28" s="4">
        <v>24</v>
      </c>
      <c r="B28" s="16" t="s">
        <v>46</v>
      </c>
      <c r="C28" s="6">
        <f>VLOOKUP(B28,'[1]附件六-費用調查表(表一)'!$E$7:$AA$112,9,FALSE)</f>
        <v>405080</v>
      </c>
      <c r="D28" s="6">
        <f>VLOOKUP(B28,'[1]附件六-費用調查表(表一)'!$E$7:$AA$112,10,FALSE)</f>
        <v>302720</v>
      </c>
      <c r="E28" s="6">
        <f>VLOOKUP(B28,'[1]附件六-費用調查表(表一)'!$E$7:$AA$112,11,FALSE)</f>
        <v>93480</v>
      </c>
      <c r="F28" s="6">
        <f>VLOOKUP(B28,'[1]附件六-費用調查表(表一)'!$E$7:$AA$112,13,FALSE)</f>
        <v>25040</v>
      </c>
      <c r="G28" s="6">
        <f>VLOOKUP(B28,'[1]附件六-費用調查表(表一)'!$E$7:$AA$112,14,FALSE)</f>
        <v>0</v>
      </c>
      <c r="H28" s="6">
        <f>VLOOKUP(B28,'[1]附件六-費用調查表(表一)'!$E$7:$AA$112,15,FALSE)</f>
        <v>0</v>
      </c>
      <c r="I28" s="7">
        <f t="shared" si="0"/>
        <v>826320</v>
      </c>
      <c r="J28" s="8">
        <f>VLOOKUP(B28,'[1]附件六-費用調查表(表一)'!$E$7:$AA$111,17,FALSE)</f>
        <v>0</v>
      </c>
      <c r="K28" s="9">
        <v>210090</v>
      </c>
      <c r="L28" s="17">
        <v>108428</v>
      </c>
      <c r="M28" s="11">
        <f>VLOOKUP('107學年度第2學期經費核定表'!B28,'[1]附件六-費用調查表(表一)'!$E$7:$AA$111,21,FALSE)</f>
        <v>62378</v>
      </c>
      <c r="N28" s="12">
        <f>VLOOKUP(B28,'[1]附件六-費用調查表(表一)'!$E$7:$AA$111,18,FALSE)</f>
        <v>3846</v>
      </c>
      <c r="O28" s="12">
        <f>136926+7</f>
        <v>136933</v>
      </c>
      <c r="P28" s="12">
        <f>211158+7</f>
        <v>211165</v>
      </c>
      <c r="Q28" s="13">
        <v>9360</v>
      </c>
      <c r="R28" s="13">
        <f t="shared" si="2"/>
        <v>93480</v>
      </c>
      <c r="S28" s="36">
        <f t="shared" si="3"/>
        <v>621744</v>
      </c>
      <c r="T28" s="14">
        <f t="shared" si="1"/>
        <v>210090</v>
      </c>
      <c r="U28" s="14">
        <f t="shared" si="4"/>
        <v>831834</v>
      </c>
    </row>
    <row r="29" spans="1:21" s="18" customFormat="1" ht="27.9" customHeight="1">
      <c r="A29" s="4">
        <v>25</v>
      </c>
      <c r="B29" s="16" t="s">
        <v>47</v>
      </c>
      <c r="C29" s="6">
        <f>VLOOKUP(B29,'[1]附件六-費用調查表(表一)'!$E$7:$AA$112,9,FALSE)</f>
        <v>14040</v>
      </c>
      <c r="D29" s="6">
        <f>VLOOKUP(B29,'[1]附件六-費用調查表(表一)'!$E$7:$AA$112,10,FALSE)</f>
        <v>28800</v>
      </c>
      <c r="E29" s="6">
        <f>VLOOKUP(B29,'[1]附件六-費用調查表(表一)'!$E$7:$AA$112,11,FALSE)</f>
        <v>3240</v>
      </c>
      <c r="F29" s="6">
        <f>VLOOKUP(B29,'[1]附件六-費用調查表(表一)'!$E$7:$AA$112,13,FALSE)</f>
        <v>1440</v>
      </c>
      <c r="G29" s="6">
        <f>VLOOKUP(B29,'[1]附件六-費用調查表(表一)'!$E$7:$AA$112,14,FALSE)</f>
        <v>0</v>
      </c>
      <c r="H29" s="6">
        <f>VLOOKUP(B29,'[1]附件六-費用調查表(表一)'!$E$7:$AA$112,15,FALSE)</f>
        <v>0</v>
      </c>
      <c r="I29" s="7">
        <f t="shared" si="0"/>
        <v>47520</v>
      </c>
      <c r="J29" s="8">
        <f>VLOOKUP(B29,'[1]附件六-費用調查表(表一)'!$E$7:$AA$111,17,FALSE)</f>
        <v>220</v>
      </c>
      <c r="K29" s="9"/>
      <c r="L29" s="17">
        <v>0</v>
      </c>
      <c r="M29" s="11">
        <f>VLOOKUP('107學年度第2學期經費核定表'!B29,'[1]附件六-費用調查表(表一)'!$E$7:$AA$111,21,FALSE)</f>
        <v>0</v>
      </c>
      <c r="N29" s="12">
        <f>VLOOKUP(B29,'[1]附件六-費用調查表(表一)'!$E$7:$AA$111,18,FALSE)</f>
        <v>0</v>
      </c>
      <c r="O29" s="12">
        <f>VLOOKUP(B29,'[1]附件六-費用調查表(表一)'!$E$7:$AA$111,22,FALSE)</f>
        <v>17712</v>
      </c>
      <c r="P29" s="12">
        <f>VLOOKUP(B29,'[1]附件六-費用調查表(表一)'!$E$7:$AA$111,23,FALSE)</f>
        <v>26568</v>
      </c>
      <c r="Q29" s="13">
        <v>0</v>
      </c>
      <c r="R29" s="13">
        <f t="shared" si="2"/>
        <v>3240</v>
      </c>
      <c r="S29" s="36">
        <f t="shared" si="3"/>
        <v>47300</v>
      </c>
      <c r="T29" s="14">
        <f t="shared" si="1"/>
        <v>0</v>
      </c>
      <c r="U29" s="14">
        <f t="shared" si="4"/>
        <v>47300</v>
      </c>
    </row>
    <row r="30" spans="1:21" s="18" customFormat="1" ht="27.9" customHeight="1">
      <c r="A30" s="4">
        <v>26</v>
      </c>
      <c r="B30" s="16" t="s">
        <v>48</v>
      </c>
      <c r="C30" s="6">
        <f>VLOOKUP(B30,'[1]附件六-費用調查表(表一)'!$E$7:$AA$112,9,FALSE)</f>
        <v>18720</v>
      </c>
      <c r="D30" s="6">
        <f>VLOOKUP(B30,'[1]附件六-費用調查表(表一)'!$E$7:$AA$112,10,FALSE)</f>
        <v>23040</v>
      </c>
      <c r="E30" s="6">
        <f>VLOOKUP(B30,'[1]附件六-費用調查表(表一)'!$E$7:$AA$112,11,FALSE)</f>
        <v>4320</v>
      </c>
      <c r="F30" s="6">
        <f>VLOOKUP(B30,'[1]附件六-費用調查表(表一)'!$E$7:$AA$112,13,FALSE)</f>
        <v>1440</v>
      </c>
      <c r="G30" s="6">
        <f>VLOOKUP(B30,'[1]附件六-費用調查表(表一)'!$E$7:$AA$112,14,FALSE)</f>
        <v>0</v>
      </c>
      <c r="H30" s="6">
        <f>VLOOKUP(B30,'[1]附件六-費用調查表(表一)'!$E$7:$AA$112,15,FALSE)</f>
        <v>0</v>
      </c>
      <c r="I30" s="7">
        <f t="shared" si="0"/>
        <v>47520</v>
      </c>
      <c r="J30" s="8">
        <f>VLOOKUP(B30,'[1]附件六-費用調查表(表一)'!$E$7:$AA$111,17,FALSE)</f>
        <v>1260</v>
      </c>
      <c r="K30" s="9"/>
      <c r="L30" s="17">
        <v>0</v>
      </c>
      <c r="M30" s="11">
        <f>VLOOKUP('107學年度第2學期經費核定表'!B30,'[1]附件六-費用調查表(表一)'!$E$7:$AA$111,21,FALSE)</f>
        <v>26896</v>
      </c>
      <c r="N30" s="12">
        <f>VLOOKUP(B30,'[1]附件六-費用調查表(表一)'!$E$7:$AA$111,18,FALSE)</f>
        <v>0</v>
      </c>
      <c r="O30" s="12">
        <f>VLOOKUP(B30,'[1]附件六-費用調查表(表一)'!$E$7:$AA$111,22,FALSE)</f>
        <v>6522</v>
      </c>
      <c r="P30" s="12">
        <f>9781+1</f>
        <v>9782</v>
      </c>
      <c r="Q30" s="13">
        <v>0</v>
      </c>
      <c r="R30" s="13">
        <f t="shared" si="2"/>
        <v>4320</v>
      </c>
      <c r="S30" s="36">
        <f t="shared" si="3"/>
        <v>46260</v>
      </c>
      <c r="T30" s="14">
        <f t="shared" si="1"/>
        <v>0</v>
      </c>
      <c r="U30" s="14">
        <f t="shared" si="4"/>
        <v>46260</v>
      </c>
    </row>
    <row r="31" spans="1:21" s="18" customFormat="1" ht="27.9" customHeight="1">
      <c r="A31" s="4">
        <v>27</v>
      </c>
      <c r="B31" s="16" t="s">
        <v>49</v>
      </c>
      <c r="C31" s="6">
        <f>VLOOKUP(B31,'[1]附件六-費用調查表(表一)'!$E$7:$AA$112,9,FALSE)</f>
        <v>17680</v>
      </c>
      <c r="D31" s="6">
        <f>VLOOKUP(B31,'[1]附件六-費用調查表(表一)'!$E$7:$AA$112,10,FALSE)</f>
        <v>46080</v>
      </c>
      <c r="E31" s="6">
        <f>VLOOKUP(B31,'[1]附件六-費用調查表(表一)'!$E$7:$AA$112,11,FALSE)</f>
        <v>4080</v>
      </c>
      <c r="F31" s="6">
        <f>VLOOKUP(B31,'[1]附件六-費用調查表(表一)'!$E$7:$AA$112,13,FALSE)</f>
        <v>2120</v>
      </c>
      <c r="G31" s="6">
        <f>VLOOKUP(B31,'[1]附件六-費用調查表(表一)'!$E$7:$AA$112,14,FALSE)</f>
        <v>0</v>
      </c>
      <c r="H31" s="6">
        <f>VLOOKUP(B31,'[1]附件六-費用調查表(表一)'!$E$7:$AA$112,15,FALSE)</f>
        <v>0</v>
      </c>
      <c r="I31" s="7">
        <f t="shared" si="0"/>
        <v>69960</v>
      </c>
      <c r="J31" s="8">
        <f>VLOOKUP(B31,'[1]附件六-費用調查表(表一)'!$E$7:$AA$111,17,FALSE)</f>
        <v>0</v>
      </c>
      <c r="K31" s="9"/>
      <c r="L31" s="17">
        <v>11475</v>
      </c>
      <c r="M31" s="11">
        <f>VLOOKUP('107學年度第2學期經費核定表'!B31,'[1]附件六-費用調查表(表一)'!$E$7:$AA$111,21,FALSE)</f>
        <v>47520</v>
      </c>
      <c r="N31" s="12">
        <f>VLOOKUP(B31,'[1]附件六-費用調查表(表一)'!$E$7:$AA$111,18,FALSE)</f>
        <v>0</v>
      </c>
      <c r="O31" s="12">
        <f>VLOOKUP(B31,'[1]附件六-費用調查表(表一)'!$E$7:$AA$111,22,FALSE)</f>
        <v>2754</v>
      </c>
      <c r="P31" s="12">
        <f>VLOOKUP(B31,'[1]附件六-費用調查表(表一)'!$E$7:$AA$111,23,FALSE)</f>
        <v>4131</v>
      </c>
      <c r="Q31" s="13">
        <v>360</v>
      </c>
      <c r="R31" s="13">
        <f t="shared" si="2"/>
        <v>4080</v>
      </c>
      <c r="S31" s="36">
        <f t="shared" si="3"/>
        <v>70320</v>
      </c>
      <c r="T31" s="14">
        <f t="shared" si="1"/>
        <v>0</v>
      </c>
      <c r="U31" s="14">
        <f t="shared" si="4"/>
        <v>70320</v>
      </c>
    </row>
    <row r="32" spans="1:21" s="18" customFormat="1" ht="27.9" customHeight="1">
      <c r="A32" s="4">
        <v>28</v>
      </c>
      <c r="B32" s="16" t="s">
        <v>50</v>
      </c>
      <c r="C32" s="6">
        <f>VLOOKUP(B32,'[1]附件六-費用調查表(表一)'!$E$7:$AA$112,9,FALSE)</f>
        <v>35360</v>
      </c>
      <c r="D32" s="6">
        <f>VLOOKUP(B32,'[1]附件六-費用調查表(表一)'!$E$7:$AA$112,10,FALSE)</f>
        <v>85760</v>
      </c>
      <c r="E32" s="6">
        <f>VLOOKUP(B32,'[1]附件六-費用調查表(表一)'!$E$7:$AA$112,11,FALSE)</f>
        <v>8160</v>
      </c>
      <c r="F32" s="6">
        <f>VLOOKUP(B32,'[1]附件六-費用調查表(表一)'!$E$7:$AA$112,13,FALSE)</f>
        <v>4040</v>
      </c>
      <c r="G32" s="6">
        <f>VLOOKUP(B32,'[1]附件六-費用調查表(表一)'!$E$7:$AA$112,14,FALSE)</f>
        <v>4896</v>
      </c>
      <c r="H32" s="6">
        <f>VLOOKUP(B32,'[1]附件六-費用調查表(表一)'!$E$7:$AA$112,15,FALSE)</f>
        <v>3444</v>
      </c>
      <c r="I32" s="7">
        <f t="shared" si="0"/>
        <v>141660</v>
      </c>
      <c r="J32" s="8">
        <f>VLOOKUP(B32,'[1]附件六-費用調查表(表一)'!$E$7:$AA$111,17,FALSE)</f>
        <v>9620</v>
      </c>
      <c r="K32" s="9"/>
      <c r="L32" s="17">
        <v>81332</v>
      </c>
      <c r="M32" s="11">
        <f>VLOOKUP('107學年度第2學期經費核定表'!B32,'[1]附件六-費用調查表(表一)'!$E$7:$AA$111,21,FALSE)</f>
        <v>0</v>
      </c>
      <c r="N32" s="12">
        <f>VLOOKUP(B32,'[1]附件六-費用調查表(表一)'!$E$7:$AA$111,18,FALSE)</f>
        <v>0</v>
      </c>
      <c r="O32" s="12">
        <f>VLOOKUP(B32,'[1]附件六-費用調查表(表一)'!$E$7:$AA$111,22,FALSE)</f>
        <v>20866</v>
      </c>
      <c r="P32" s="12">
        <f>31297+5</f>
        <v>31302</v>
      </c>
      <c r="Q32" s="13">
        <v>0</v>
      </c>
      <c r="R32" s="13">
        <f t="shared" si="2"/>
        <v>8160</v>
      </c>
      <c r="S32" s="36">
        <f t="shared" si="3"/>
        <v>132040</v>
      </c>
      <c r="T32" s="14">
        <f t="shared" si="1"/>
        <v>0</v>
      </c>
      <c r="U32" s="14">
        <f t="shared" si="4"/>
        <v>132040</v>
      </c>
    </row>
    <row r="33" spans="1:21" s="18" customFormat="1" ht="27.9" customHeight="1">
      <c r="A33" s="4">
        <v>29</v>
      </c>
      <c r="B33" s="16" t="s">
        <v>51</v>
      </c>
      <c r="C33" s="6">
        <f>VLOOKUP(B33,'[1]附件六-費用調查表(表一)'!$E$7:$AA$112,9,FALSE)</f>
        <v>13260</v>
      </c>
      <c r="D33" s="6">
        <f>VLOOKUP(B33,'[1]附件六-費用調查表(表一)'!$E$7:$AA$112,10,FALSE)</f>
        <v>21760</v>
      </c>
      <c r="E33" s="6">
        <f>VLOOKUP(B33,'[1]附件六-費用調查表(表一)'!$E$7:$AA$112,11,FALSE)</f>
        <v>3060</v>
      </c>
      <c r="F33" s="6">
        <f>VLOOKUP(B33,'[1]附件六-費用調查表(表一)'!$E$7:$AA$112,13,FALSE)</f>
        <v>1190</v>
      </c>
      <c r="G33" s="6">
        <f>VLOOKUP(B33,'[1]附件六-費用調查表(表一)'!$E$7:$AA$112,14,FALSE)</f>
        <v>0</v>
      </c>
      <c r="H33" s="6">
        <f>VLOOKUP(B33,'[1]附件六-費用調查表(表一)'!$E$7:$AA$112,15,FALSE)</f>
        <v>0</v>
      </c>
      <c r="I33" s="7">
        <f t="shared" si="0"/>
        <v>39270</v>
      </c>
      <c r="J33" s="8">
        <f>VLOOKUP(B33,'[1]附件六-費用調查表(表一)'!$E$7:$AA$111,17,FALSE)</f>
        <v>0</v>
      </c>
      <c r="K33" s="9"/>
      <c r="L33" s="17">
        <v>0</v>
      </c>
      <c r="M33" s="11">
        <f>VLOOKUP('107學年度第2學期經費核定表'!B33,'[1]附件六-費用調查表(表一)'!$E$7:$AA$111,21,FALSE)</f>
        <v>7582</v>
      </c>
      <c r="N33" s="12">
        <f>VLOOKUP(B33,'[1]附件六-費用調查表(表一)'!$E$7:$AA$111,18,FALSE)</f>
        <v>0</v>
      </c>
      <c r="O33" s="12">
        <f>VLOOKUP(B33,'[1]附件六-費用調查表(表一)'!$E$7:$AA$111,22,FALSE)</f>
        <v>11452</v>
      </c>
      <c r="P33" s="12">
        <f>VLOOKUP(B33,'[1]附件六-費用調查表(表一)'!$E$7:$AA$111,23,FALSE)</f>
        <v>17176</v>
      </c>
      <c r="Q33" s="13">
        <v>360</v>
      </c>
      <c r="R33" s="13">
        <f t="shared" si="2"/>
        <v>3060</v>
      </c>
      <c r="S33" s="36">
        <f t="shared" si="3"/>
        <v>39630</v>
      </c>
      <c r="T33" s="14">
        <f t="shared" si="1"/>
        <v>0</v>
      </c>
      <c r="U33" s="14">
        <f t="shared" si="4"/>
        <v>39630</v>
      </c>
    </row>
    <row r="34" spans="1:21" s="18" customFormat="1" ht="27.9" customHeight="1">
      <c r="A34" s="4">
        <v>30</v>
      </c>
      <c r="B34" s="16" t="s">
        <v>52</v>
      </c>
      <c r="C34" s="6">
        <f>VLOOKUP(B34,'[1]附件六-費用調查表(表一)'!$E$7:$AA$112,9,FALSE)</f>
        <v>11700</v>
      </c>
      <c r="D34" s="6">
        <f>VLOOKUP(B34,'[1]附件六-費用調查表(表一)'!$E$7:$AA$112,10,FALSE)</f>
        <v>35520</v>
      </c>
      <c r="E34" s="6">
        <f>VLOOKUP(B34,'[1]附件六-費用調查表(表一)'!$E$7:$AA$112,11,FALSE)</f>
        <v>2700</v>
      </c>
      <c r="F34" s="6">
        <f>VLOOKUP(B34,'[1]附件六-費用調查表(表一)'!$E$7:$AA$112,13,FALSE)</f>
        <v>1560</v>
      </c>
      <c r="G34" s="6">
        <f>VLOOKUP(B34,'[1]附件六-費用調查表(表一)'!$E$7:$AA$112,14,FALSE)</f>
        <v>0</v>
      </c>
      <c r="H34" s="6">
        <f>VLOOKUP(B34,'[1]附件六-費用調查表(表一)'!$E$7:$AA$112,15,FALSE)</f>
        <v>0</v>
      </c>
      <c r="I34" s="7">
        <f t="shared" si="0"/>
        <v>51480</v>
      </c>
      <c r="J34" s="8">
        <f>VLOOKUP(B34,'[1]附件六-費用調查表(表一)'!$E$7:$AA$111,17,FALSE)</f>
        <v>0</v>
      </c>
      <c r="K34" s="9"/>
      <c r="L34" s="17">
        <v>0</v>
      </c>
      <c r="M34" s="11">
        <v>13873</v>
      </c>
      <c r="N34" s="12">
        <f>VLOOKUP(B34,'[1]附件六-費用調查表(表一)'!$E$7:$AA$111,18,FALSE)</f>
        <v>0</v>
      </c>
      <c r="O34" s="12">
        <f>VLOOKUP(B34,'[1]附件六-費用調查表(表一)'!$E$7:$AA$111,22,FALSE)</f>
        <v>14363</v>
      </c>
      <c r="P34" s="12">
        <f>21543+1</f>
        <v>21544</v>
      </c>
      <c r="Q34" s="13">
        <v>480</v>
      </c>
      <c r="R34" s="13">
        <f t="shared" si="2"/>
        <v>2700</v>
      </c>
      <c r="S34" s="36">
        <f t="shared" si="3"/>
        <v>52960</v>
      </c>
      <c r="T34" s="14">
        <v>0</v>
      </c>
      <c r="U34" s="14">
        <f t="shared" si="4"/>
        <v>52960</v>
      </c>
    </row>
    <row r="35" spans="1:21" s="18" customFormat="1" ht="27.9" customHeight="1">
      <c r="A35" s="4">
        <v>31</v>
      </c>
      <c r="B35" s="16" t="s">
        <v>53</v>
      </c>
      <c r="C35" s="6">
        <f>VLOOKUP(B35,'[1]附件六-費用調查表(表一)'!$E$7:$AA$112,9,FALSE)</f>
        <v>49400</v>
      </c>
      <c r="D35" s="6">
        <f>VLOOKUP(B35,'[1]附件六-費用調查表(表一)'!$E$7:$AA$112,10,FALSE)</f>
        <v>19200</v>
      </c>
      <c r="E35" s="6">
        <f>VLOOKUP(B35,'[1]附件六-費用調查表(表一)'!$E$7:$AA$112,11,FALSE)</f>
        <v>11400</v>
      </c>
      <c r="F35" s="6">
        <f>VLOOKUP(B35,'[1]附件六-費用調查表(表一)'!$E$7:$AA$112,13,FALSE)</f>
        <v>2500</v>
      </c>
      <c r="G35" s="6">
        <f>VLOOKUP(B35,'[1]附件六-費用調查表(表一)'!$E$7:$AA$112,14,FALSE)</f>
        <v>7000</v>
      </c>
      <c r="H35" s="6">
        <f>VLOOKUP(B35,'[1]附件六-費用調查表(表一)'!$E$7:$AA$112,15,FALSE)</f>
        <v>0</v>
      </c>
      <c r="I35" s="7">
        <f t="shared" si="0"/>
        <v>89500</v>
      </c>
      <c r="J35" s="8">
        <f>VLOOKUP(B35,'[1]附件六-費用調查表(表一)'!$E$7:$AA$111,17,FALSE)</f>
        <v>0</v>
      </c>
      <c r="K35" s="9"/>
      <c r="L35" s="17">
        <v>0</v>
      </c>
      <c r="M35" s="11">
        <f>VLOOKUP('107學年度第2學期經費核定表'!B35,'[1]附件六-費用調查表(表一)'!$E$7:$AA$111,21,FALSE)</f>
        <v>0</v>
      </c>
      <c r="N35" s="12">
        <f>VLOOKUP(B35,'[1]附件六-費用調查表(表一)'!$E$7:$AA$111,18,FALSE)</f>
        <v>0</v>
      </c>
      <c r="O35" s="12">
        <f>VLOOKUP(B35,'[1]附件六-費用調查表(表一)'!$E$7:$AA$111,22,FALSE)</f>
        <v>31240</v>
      </c>
      <c r="P35" s="12">
        <f>VLOOKUP(B35,'[1]附件六-費用調查表(表一)'!$E$7:$AA$111,23,FALSE)</f>
        <v>46860</v>
      </c>
      <c r="Q35" s="13">
        <v>720</v>
      </c>
      <c r="R35" s="13">
        <f t="shared" si="2"/>
        <v>11400</v>
      </c>
      <c r="S35" s="36">
        <f t="shared" si="3"/>
        <v>90220</v>
      </c>
      <c r="T35" s="14">
        <f t="shared" ref="T35:T47" si="5">K35</f>
        <v>0</v>
      </c>
      <c r="U35" s="14">
        <f t="shared" si="4"/>
        <v>90220</v>
      </c>
    </row>
    <row r="36" spans="1:21" s="18" customFormat="1" ht="27.9" customHeight="1">
      <c r="A36" s="4">
        <v>32</v>
      </c>
      <c r="B36" s="16" t="s">
        <v>54</v>
      </c>
      <c r="C36" s="6">
        <f>VLOOKUP(B36,'[1]附件六-費用調查表(表一)'!$E$7:$AA$112,9,FALSE)</f>
        <v>37440</v>
      </c>
      <c r="D36" s="6">
        <f>VLOOKUP(B36,'[1]附件六-費用調查表(表一)'!$E$7:$AA$112,10,FALSE)</f>
        <v>57600</v>
      </c>
      <c r="E36" s="6">
        <f>VLOOKUP(B36,'[1]附件六-費用調查表(表一)'!$E$7:$AA$112,11,FALSE)</f>
        <v>8640</v>
      </c>
      <c r="F36" s="6">
        <f>VLOOKUP(B36,'[1]附件六-費用調查表(表一)'!$E$7:$AA$112,13,FALSE)</f>
        <v>3240</v>
      </c>
      <c r="G36" s="6">
        <f>VLOOKUP(B36,'[1]附件六-費用調查表(表一)'!$E$7:$AA$112,14,FALSE)</f>
        <v>0</v>
      </c>
      <c r="H36" s="6">
        <f>VLOOKUP(B36,'[1]附件六-費用調查表(表一)'!$E$7:$AA$112,15,FALSE)</f>
        <v>0</v>
      </c>
      <c r="I36" s="7">
        <f t="shared" si="0"/>
        <v>106920</v>
      </c>
      <c r="J36" s="8">
        <f>VLOOKUP(B36,'[1]附件六-費用調查表(表一)'!$E$7:$AA$111,17,FALSE)</f>
        <v>1180</v>
      </c>
      <c r="K36" s="9"/>
      <c r="L36" s="17">
        <v>70832</v>
      </c>
      <c r="M36" s="11">
        <f>VLOOKUP('107學年度第2學期經費核定表'!B36,'[1]附件六-費用調查表(表一)'!$E$7:$AA$111,21,FALSE)</f>
        <v>0</v>
      </c>
      <c r="N36" s="12">
        <f>VLOOKUP(B36,'[1]附件六-費用調查表(表一)'!$E$7:$AA$111,18,FALSE)</f>
        <v>0</v>
      </c>
      <c r="O36" s="12">
        <f>10978+1</f>
        <v>10979</v>
      </c>
      <c r="P36" s="12">
        <f>16467+2</f>
        <v>16469</v>
      </c>
      <c r="Q36" s="13">
        <v>0</v>
      </c>
      <c r="R36" s="13">
        <f t="shared" si="2"/>
        <v>8640</v>
      </c>
      <c r="S36" s="36">
        <f t="shared" si="3"/>
        <v>105740</v>
      </c>
      <c r="T36" s="14">
        <f t="shared" si="5"/>
        <v>0</v>
      </c>
      <c r="U36" s="14">
        <f t="shared" si="4"/>
        <v>105740</v>
      </c>
    </row>
    <row r="37" spans="1:21" s="18" customFormat="1" ht="27.9" customHeight="1">
      <c r="A37" s="4">
        <v>33</v>
      </c>
      <c r="B37" s="16" t="s">
        <v>55</v>
      </c>
      <c r="C37" s="6">
        <f>VLOOKUP(B37,'[1]附件六-費用調查表(表一)'!$E$7:$AA$112,9,FALSE)</f>
        <v>31200</v>
      </c>
      <c r="D37" s="6">
        <f>VLOOKUP(B37,'[1]附件六-費用調查表(表一)'!$E$7:$AA$112,10,FALSE)</f>
        <v>48000</v>
      </c>
      <c r="E37" s="6">
        <f>VLOOKUP(B37,'[1]附件六-費用調查表(表一)'!$E$7:$AA$112,11,FALSE)</f>
        <v>7200</v>
      </c>
      <c r="F37" s="6">
        <f>VLOOKUP(B37,'[1]附件六-費用調查表(表一)'!$E$7:$AA$112,13,FALSE)</f>
        <v>2700</v>
      </c>
      <c r="G37" s="6">
        <f>VLOOKUP(B37,'[1]附件六-費用調查表(表一)'!$E$7:$AA$112,14,FALSE)</f>
        <v>0</v>
      </c>
      <c r="H37" s="6">
        <f>VLOOKUP(B37,'[1]附件六-費用調查表(表一)'!$E$7:$AA$112,15,FALSE)</f>
        <v>0</v>
      </c>
      <c r="I37" s="7">
        <f t="shared" ref="I37:I68" si="6">SUM(C37:H37)</f>
        <v>89100</v>
      </c>
      <c r="J37" s="8">
        <f>VLOOKUP(B37,'[1]附件六-費用調查表(表一)'!$E$7:$AA$111,17,FALSE)</f>
        <v>0</v>
      </c>
      <c r="K37" s="9"/>
      <c r="L37" s="17">
        <v>0</v>
      </c>
      <c r="M37" s="11">
        <f>VLOOKUP('107學年度第2學期經費核定表'!B37,'[1]附件六-費用調查表(表一)'!$E$7:$AA$111,21,FALSE)</f>
        <v>38830</v>
      </c>
      <c r="N37" s="12">
        <f>VLOOKUP(B37,'[1]附件六-費用調查表(表一)'!$E$7:$AA$111,18,FALSE)</f>
        <v>0</v>
      </c>
      <c r="O37" s="12">
        <f>VLOOKUP(B37,'[1]附件六-費用調查表(表一)'!$E$7:$AA$111,22,FALSE)</f>
        <v>17228</v>
      </c>
      <c r="P37" s="12">
        <f>VLOOKUP(B37,'[1]附件六-費用調查表(表一)'!$E$7:$AA$111,23,FALSE)</f>
        <v>25842</v>
      </c>
      <c r="Q37" s="13">
        <v>540</v>
      </c>
      <c r="R37" s="13">
        <f t="shared" si="2"/>
        <v>7200</v>
      </c>
      <c r="S37" s="36">
        <f t="shared" si="3"/>
        <v>89640</v>
      </c>
      <c r="T37" s="14">
        <f t="shared" si="5"/>
        <v>0</v>
      </c>
      <c r="U37" s="14">
        <f t="shared" si="4"/>
        <v>89640</v>
      </c>
    </row>
    <row r="38" spans="1:21" s="18" customFormat="1" ht="27.9" customHeight="1">
      <c r="A38" s="4">
        <v>34</v>
      </c>
      <c r="B38" s="16" t="s">
        <v>56</v>
      </c>
      <c r="C38" s="6">
        <f>VLOOKUP(B38,'[1]附件六-費用調查表(表一)'!$E$7:$AA$112,9,FALSE)</f>
        <v>45240</v>
      </c>
      <c r="D38" s="6">
        <f>VLOOKUP(B38,'[1]附件六-費用調查表(表一)'!$E$7:$AA$112,10,FALSE)</f>
        <v>46080</v>
      </c>
      <c r="E38" s="6">
        <f>VLOOKUP(B38,'[1]附件六-費用調查表(表一)'!$E$7:$AA$112,11,FALSE)</f>
        <v>10440</v>
      </c>
      <c r="F38" s="6">
        <f>VLOOKUP(B38,'[1]附件六-費用調查表(表一)'!$E$7:$AA$112,13,FALSE)</f>
        <v>3180</v>
      </c>
      <c r="G38" s="6">
        <f>VLOOKUP(B38,'[1]附件六-費用調查表(表一)'!$E$7:$AA$112,14,FALSE)</f>
        <v>1500</v>
      </c>
      <c r="H38" s="6">
        <f>VLOOKUP(B38,'[1]附件六-費用調查表(表一)'!$E$7:$AA$112,15,FALSE)</f>
        <v>500</v>
      </c>
      <c r="I38" s="7">
        <f t="shared" si="6"/>
        <v>106940</v>
      </c>
      <c r="J38" s="8">
        <f>VLOOKUP(B38,'[1]附件六-費用調查表(表一)'!$E$7:$AA$111,17,FALSE)</f>
        <v>0</v>
      </c>
      <c r="K38" s="9"/>
      <c r="L38" s="17">
        <v>0</v>
      </c>
      <c r="M38" s="11">
        <f>VLOOKUP('107學年度第2學期經費核定表'!B38,'[1]附件六-費用調查表(表一)'!$E$7:$AA$111,21,FALSE)</f>
        <v>42255</v>
      </c>
      <c r="N38" s="12">
        <f>VLOOKUP(B38,'[1]附件六-費用調查表(表一)'!$E$7:$AA$111,18,FALSE)</f>
        <v>0</v>
      </c>
      <c r="O38" s="12">
        <f>21698+1</f>
        <v>21699</v>
      </c>
      <c r="P38" s="12">
        <f>VLOOKUP(B38,'[1]附件六-費用調查表(表一)'!$E$7:$AA$111,23,FALSE)</f>
        <v>32546</v>
      </c>
      <c r="Q38" s="13">
        <v>600</v>
      </c>
      <c r="R38" s="13">
        <f t="shared" si="2"/>
        <v>10440</v>
      </c>
      <c r="S38" s="36">
        <f t="shared" si="3"/>
        <v>107540</v>
      </c>
      <c r="T38" s="14">
        <f t="shared" si="5"/>
        <v>0</v>
      </c>
      <c r="U38" s="14">
        <f t="shared" si="4"/>
        <v>107540</v>
      </c>
    </row>
    <row r="39" spans="1:21" s="18" customFormat="1" ht="27.9" customHeight="1">
      <c r="A39" s="4">
        <v>35</v>
      </c>
      <c r="B39" s="16" t="s">
        <v>57</v>
      </c>
      <c r="C39" s="6">
        <f>VLOOKUP(B39,'[1]附件六-費用調查表(表一)'!$E$7:$AA$112,9,FALSE)</f>
        <v>60840</v>
      </c>
      <c r="D39" s="6">
        <f>VLOOKUP(B39,'[1]附件六-費用調查表(表一)'!$E$7:$AA$112,10,FALSE)</f>
        <v>0</v>
      </c>
      <c r="E39" s="6">
        <f>VLOOKUP(B39,'[1]附件六-費用調查表(表一)'!$E$7:$AA$112,11,FALSE)</f>
        <v>14040</v>
      </c>
      <c r="F39" s="6">
        <f>VLOOKUP(B39,'[1]附件六-費用調查表(表一)'!$E$7:$AA$112,13,FALSE)</f>
        <v>2340</v>
      </c>
      <c r="G39" s="6">
        <f>VLOOKUP(B39,'[1]附件六-費用調查表(表一)'!$E$7:$AA$112,14,FALSE)</f>
        <v>0</v>
      </c>
      <c r="H39" s="6">
        <f>VLOOKUP(B39,'[1]附件六-費用調查表(表一)'!$E$7:$AA$112,15,FALSE)</f>
        <v>0</v>
      </c>
      <c r="I39" s="7">
        <f t="shared" si="6"/>
        <v>77220</v>
      </c>
      <c r="J39" s="8">
        <f>VLOOKUP(B39,'[1]附件六-費用調查表(表一)'!$E$7:$AA$111,17,FALSE)</f>
        <v>0</v>
      </c>
      <c r="K39" s="9"/>
      <c r="L39" s="17">
        <v>10129</v>
      </c>
      <c r="M39" s="11">
        <f>VLOOKUP('107學年度第2學期經費核定表'!B39,'[1]附件六-費用調查表(表一)'!$E$7:$AA$111,21,FALSE)</f>
        <v>8836</v>
      </c>
      <c r="N39" s="12">
        <f>VLOOKUP(B39,'[1]附件六-費用調查表(表一)'!$E$7:$AA$111,18,FALSE)</f>
        <v>0</v>
      </c>
      <c r="O39" s="12">
        <f>17686+1</f>
        <v>17687</v>
      </c>
      <c r="P39" s="12">
        <f>26527+1</f>
        <v>26528</v>
      </c>
      <c r="Q39" s="13">
        <v>840</v>
      </c>
      <c r="R39" s="13">
        <f t="shared" si="2"/>
        <v>14040</v>
      </c>
      <c r="S39" s="36">
        <f t="shared" si="3"/>
        <v>78060</v>
      </c>
      <c r="T39" s="14">
        <f t="shared" si="5"/>
        <v>0</v>
      </c>
      <c r="U39" s="14">
        <f t="shared" si="4"/>
        <v>78060</v>
      </c>
    </row>
    <row r="40" spans="1:21" s="18" customFormat="1" ht="27.9" customHeight="1">
      <c r="A40" s="4">
        <v>36</v>
      </c>
      <c r="B40" s="16" t="s">
        <v>58</v>
      </c>
      <c r="C40" s="6">
        <f>VLOOKUP(B40,'[1]附件六-費用調查表(表一)'!$E$7:$AA$112,9,FALSE)</f>
        <v>14040</v>
      </c>
      <c r="D40" s="6">
        <f>VLOOKUP(B40,'[1]附件六-費用調查表(表一)'!$E$7:$AA$112,10,FALSE)</f>
        <v>51840</v>
      </c>
      <c r="E40" s="6">
        <f>VLOOKUP(B40,'[1]附件六-費用調查表(表一)'!$E$7:$AA$112,11,FALSE)</f>
        <v>3240</v>
      </c>
      <c r="F40" s="6">
        <f>VLOOKUP(B40,'[1]附件六-費用調查表(表一)'!$E$7:$AA$112,13,FALSE)</f>
        <v>2160</v>
      </c>
      <c r="G40" s="6">
        <f>VLOOKUP(B40,'[1]附件六-費用調查表(表一)'!$E$7:$AA$112,14,FALSE)</f>
        <v>0</v>
      </c>
      <c r="H40" s="6">
        <f>VLOOKUP(B40,'[1]附件六-費用調查表(表一)'!$E$7:$AA$112,15,FALSE)</f>
        <v>0</v>
      </c>
      <c r="I40" s="7">
        <f t="shared" si="6"/>
        <v>71280</v>
      </c>
      <c r="J40" s="8">
        <f>VLOOKUP(B40,'[1]附件六-費用調查表(表一)'!$E$7:$AA$111,17,FALSE)</f>
        <v>0</v>
      </c>
      <c r="K40" s="9">
        <v>1671</v>
      </c>
      <c r="L40" s="17">
        <v>29501</v>
      </c>
      <c r="M40" s="11">
        <f>VLOOKUP('107學年度第2學期經費核定表'!B40,'[1]附件六-費用調查表(表一)'!$E$7:$AA$111,21,FALSE)</f>
        <v>7155</v>
      </c>
      <c r="N40" s="12">
        <f>VLOOKUP(B40,'[1]附件六-費用調查表(表一)'!$E$7:$AA$111,18,FALSE)</f>
        <v>0</v>
      </c>
      <c r="O40" s="12">
        <f>VLOOKUP(B40,'[1]附件六-費用調查表(表一)'!$E$7:$AA$111,22,FALSE)</f>
        <v>11885</v>
      </c>
      <c r="P40" s="12">
        <f>17827+1</f>
        <v>17828</v>
      </c>
      <c r="Q40" s="13">
        <v>300</v>
      </c>
      <c r="R40" s="13">
        <f t="shared" si="2"/>
        <v>3240</v>
      </c>
      <c r="S40" s="36">
        <f t="shared" si="3"/>
        <v>69909</v>
      </c>
      <c r="T40" s="14">
        <f t="shared" si="5"/>
        <v>1671</v>
      </c>
      <c r="U40" s="14">
        <f t="shared" si="4"/>
        <v>71580</v>
      </c>
    </row>
    <row r="41" spans="1:21" s="18" customFormat="1" ht="27.9" customHeight="1">
      <c r="A41" s="4">
        <v>37</v>
      </c>
      <c r="B41" s="16" t="s">
        <v>59</v>
      </c>
      <c r="C41" s="6">
        <f>VLOOKUP(B41,'[1]附件六-費用調查表(表一)'!$E$7:$AA$112,9,FALSE)</f>
        <v>16640</v>
      </c>
      <c r="D41" s="6">
        <f>VLOOKUP(B41,'[1]附件六-費用調查表(表一)'!$E$7:$AA$112,10,FALSE)</f>
        <v>40960</v>
      </c>
      <c r="E41" s="6">
        <f>VLOOKUP(B41,'[1]附件六-費用調查表(表一)'!$E$7:$AA$112,11,FALSE)</f>
        <v>3840</v>
      </c>
      <c r="F41" s="6">
        <f>VLOOKUP(B41,'[1]附件六-費用調查表(表一)'!$E$7:$AA$112,13,FALSE)</f>
        <v>1920</v>
      </c>
      <c r="G41" s="6">
        <f>VLOOKUP(B41,'[1]附件六-費用調查表(表一)'!$E$7:$AA$112,14,FALSE)</f>
        <v>0</v>
      </c>
      <c r="H41" s="6">
        <f>VLOOKUP(B41,'[1]附件六-費用調查表(表一)'!$E$7:$AA$112,15,FALSE)</f>
        <v>0</v>
      </c>
      <c r="I41" s="7">
        <f t="shared" si="6"/>
        <v>63360</v>
      </c>
      <c r="J41" s="8">
        <f>VLOOKUP(B41,'[1]附件六-費用調查表(表一)'!$E$7:$AA$111,17,FALSE)</f>
        <v>0</v>
      </c>
      <c r="K41" s="9"/>
      <c r="L41" s="17">
        <v>42877</v>
      </c>
      <c r="M41" s="11">
        <f>VLOOKUP('107學年度第2學期經費核定表'!B41,'[1]附件六-費用調查表(表一)'!$E$7:$AA$111,21,FALSE)</f>
        <v>12237</v>
      </c>
      <c r="N41" s="12">
        <f>VLOOKUP(B41,'[1]附件六-費用調查表(表一)'!$E$7:$AA$111,18,FALSE)</f>
        <v>0</v>
      </c>
      <c r="O41" s="12">
        <f>1762+1</f>
        <v>1763</v>
      </c>
      <c r="P41" s="12">
        <f>2641+2</f>
        <v>2643</v>
      </c>
      <c r="Q41" s="13">
        <v>120</v>
      </c>
      <c r="R41" s="13">
        <f t="shared" si="2"/>
        <v>3840</v>
      </c>
      <c r="S41" s="36">
        <f t="shared" si="3"/>
        <v>63480</v>
      </c>
      <c r="T41" s="14">
        <f t="shared" si="5"/>
        <v>0</v>
      </c>
      <c r="U41" s="14">
        <f t="shared" si="4"/>
        <v>63480</v>
      </c>
    </row>
    <row r="42" spans="1:21" s="18" customFormat="1" ht="27.9" customHeight="1">
      <c r="A42" s="4">
        <v>38</v>
      </c>
      <c r="B42" s="16" t="s">
        <v>60</v>
      </c>
      <c r="C42" s="6">
        <f>VLOOKUP(B42,'[1]附件六-費用調查表(表一)'!$E$7:$AA$112,9,FALSE)</f>
        <v>37440</v>
      </c>
      <c r="D42" s="6">
        <f>VLOOKUP(B42,'[1]附件六-費用調查表(表一)'!$E$7:$AA$112,10,FALSE)</f>
        <v>28800</v>
      </c>
      <c r="E42" s="6">
        <f>VLOOKUP(B42,'[1]附件六-費用調查表(表一)'!$E$7:$AA$112,11,FALSE)</f>
        <v>8640</v>
      </c>
      <c r="F42" s="6">
        <f>VLOOKUP(B42,'[1]附件六-費用調查表(表一)'!$E$7:$AA$112,13,FALSE)</f>
        <v>2340</v>
      </c>
      <c r="G42" s="6">
        <f>VLOOKUP(B42,'[1]附件六-費用調查表(表一)'!$E$7:$AA$112,14,FALSE)</f>
        <v>0</v>
      </c>
      <c r="H42" s="6">
        <f>VLOOKUP(B42,'[1]附件六-費用調查表(表一)'!$E$7:$AA$112,15,FALSE)</f>
        <v>0</v>
      </c>
      <c r="I42" s="7">
        <f t="shared" si="6"/>
        <v>77220</v>
      </c>
      <c r="J42" s="8">
        <f>VLOOKUP(B42,'[1]附件六-費用調查表(表一)'!$E$7:$AA$111,17,FALSE)</f>
        <v>0</v>
      </c>
      <c r="K42" s="9"/>
      <c r="L42" s="17">
        <v>0</v>
      </c>
      <c r="M42" s="11">
        <f>VLOOKUP('107學年度第2學期經費核定表'!B42,'[1]附件六-費用調查表(表一)'!$E$7:$AA$111,21,FALSE)</f>
        <v>0</v>
      </c>
      <c r="N42" s="12">
        <f>VLOOKUP(B42,'[1]附件六-費用調查表(表一)'!$E$7:$AA$111,18,FALSE)</f>
        <v>0</v>
      </c>
      <c r="O42" s="12">
        <f>VLOOKUP(B42,'[1]附件六-費用調查表(表一)'!$E$7:$AA$111,22,FALSE)</f>
        <v>27432</v>
      </c>
      <c r="P42" s="12">
        <f>VLOOKUP(B42,'[1]附件六-費用調查表(表一)'!$E$7:$AA$111,23,FALSE)</f>
        <v>41148</v>
      </c>
      <c r="Q42" s="13">
        <v>0</v>
      </c>
      <c r="R42" s="13">
        <f t="shared" si="2"/>
        <v>8640</v>
      </c>
      <c r="S42" s="36">
        <f t="shared" si="3"/>
        <v>77220</v>
      </c>
      <c r="T42" s="14">
        <f t="shared" si="5"/>
        <v>0</v>
      </c>
      <c r="U42" s="14">
        <f t="shared" si="4"/>
        <v>77220</v>
      </c>
    </row>
    <row r="43" spans="1:21" s="18" customFormat="1" ht="27.9" customHeight="1">
      <c r="A43" s="4">
        <v>39</v>
      </c>
      <c r="B43" s="16" t="s">
        <v>61</v>
      </c>
      <c r="C43" s="6">
        <f>VLOOKUP(B43,'[1]附件六-費用調查表(表一)'!$E$7:$AA$112,9,FALSE)</f>
        <v>13260</v>
      </c>
      <c r="D43" s="6">
        <f>VLOOKUP(B43,'[1]附件六-費用調查表(表一)'!$E$7:$AA$112,10,FALSE)</f>
        <v>54400</v>
      </c>
      <c r="E43" s="6">
        <f>VLOOKUP(B43,'[1]附件六-費用調查表(表一)'!$E$7:$AA$112,11,FALSE)</f>
        <v>3060</v>
      </c>
      <c r="F43" s="6">
        <f>VLOOKUP(B43,'[1]附件六-費用調查表(表一)'!$E$7:$AA$112,13,FALSE)</f>
        <v>2210</v>
      </c>
      <c r="G43" s="6">
        <f>VLOOKUP(B43,'[1]附件六-費用調查表(表一)'!$E$7:$AA$112,14,FALSE)</f>
        <v>0</v>
      </c>
      <c r="H43" s="6">
        <f>VLOOKUP(B43,'[1]附件六-費用調查表(表一)'!$E$7:$AA$112,15,FALSE)</f>
        <v>0</v>
      </c>
      <c r="I43" s="7">
        <f t="shared" si="6"/>
        <v>72930</v>
      </c>
      <c r="J43" s="8">
        <f>VLOOKUP(B43,'[1]附件六-費用調查表(表一)'!$E$7:$AA$111,17,FALSE)</f>
        <v>0</v>
      </c>
      <c r="K43" s="9">
        <v>1942</v>
      </c>
      <c r="L43" s="17">
        <v>35686</v>
      </c>
      <c r="M43" s="11">
        <f>VLOOKUP('107學年度第2學期經費核定表'!B43,'[1]附件六-費用調查表(表一)'!$E$7:$AA$111,21,FALSE)</f>
        <v>0</v>
      </c>
      <c r="N43" s="12">
        <f>VLOOKUP(B43,'[1]附件六-費用調查表(表一)'!$E$7:$AA$111,18,FALSE)</f>
        <v>350</v>
      </c>
      <c r="O43" s="12">
        <f>12546+1</f>
        <v>12547</v>
      </c>
      <c r="P43" s="12">
        <f>19344+1</f>
        <v>19345</v>
      </c>
      <c r="Q43" s="13">
        <v>600</v>
      </c>
      <c r="R43" s="13">
        <f t="shared" si="2"/>
        <v>3060</v>
      </c>
      <c r="S43" s="36">
        <f t="shared" si="3"/>
        <v>71238</v>
      </c>
      <c r="T43" s="14">
        <f t="shared" si="5"/>
        <v>1942</v>
      </c>
      <c r="U43" s="14">
        <f t="shared" si="4"/>
        <v>73180</v>
      </c>
    </row>
    <row r="44" spans="1:21" s="18" customFormat="1" ht="27.9" customHeight="1">
      <c r="A44" s="4">
        <v>40</v>
      </c>
      <c r="B44" s="16" t="s">
        <v>62</v>
      </c>
      <c r="C44" s="6">
        <f>VLOOKUP(B44,'[1]附件六-費用調查表(表一)'!$E$7:$AA$112,9,FALSE)</f>
        <v>205920</v>
      </c>
      <c r="D44" s="6">
        <f>VLOOKUP(B44,'[1]附件六-費用調查表(表一)'!$E$7:$AA$112,10,FALSE)</f>
        <v>46080</v>
      </c>
      <c r="E44" s="6">
        <f>VLOOKUP(B44,'[1]附件六-費用調查表(表一)'!$E$7:$AA$112,11,FALSE)</f>
        <v>47520</v>
      </c>
      <c r="F44" s="6">
        <f>VLOOKUP(B44,'[1]附件六-費用調查表(表一)'!$E$7:$AA$112,13,FALSE)</f>
        <v>9360</v>
      </c>
      <c r="G44" s="6">
        <f>VLOOKUP(B44,'[1]附件六-費用調查表(表一)'!$E$7:$AA$112,14,FALSE)</f>
        <v>0</v>
      </c>
      <c r="H44" s="6">
        <f>VLOOKUP(B44,'[1]附件六-費用調查表(表一)'!$E$7:$AA$112,15,FALSE)</f>
        <v>0</v>
      </c>
      <c r="I44" s="7">
        <f t="shared" si="6"/>
        <v>308880</v>
      </c>
      <c r="J44" s="8">
        <f>VLOOKUP(B44,'[1]附件六-費用調查表(表一)'!$E$7:$AA$111,17,FALSE)</f>
        <v>0</v>
      </c>
      <c r="K44" s="9"/>
      <c r="L44" s="17">
        <v>0</v>
      </c>
      <c r="M44" s="11">
        <f>VLOOKUP('107學年度第2學期經費核定表'!B44,'[1]附件六-費用調查表(表一)'!$E$7:$AA$111,21,FALSE)</f>
        <v>93888</v>
      </c>
      <c r="N44" s="12">
        <f>VLOOKUP(B44,'[1]附件六-費用調查表(表一)'!$E$7:$AA$111,18,FALSE)</f>
        <v>0</v>
      </c>
      <c r="O44" s="12">
        <f>66988+1</f>
        <v>66989</v>
      </c>
      <c r="P44" s="12">
        <f>100482+1</f>
        <v>100483</v>
      </c>
      <c r="Q44" s="13">
        <v>116</v>
      </c>
      <c r="R44" s="13">
        <f t="shared" si="2"/>
        <v>47520</v>
      </c>
      <c r="S44" s="36">
        <f t="shared" si="3"/>
        <v>308996</v>
      </c>
      <c r="T44" s="14">
        <f t="shared" si="5"/>
        <v>0</v>
      </c>
      <c r="U44" s="14">
        <f t="shared" si="4"/>
        <v>308996</v>
      </c>
    </row>
    <row r="45" spans="1:21" s="18" customFormat="1" ht="27.9" customHeight="1">
      <c r="A45" s="4">
        <v>41</v>
      </c>
      <c r="B45" s="16" t="s">
        <v>63</v>
      </c>
      <c r="C45" s="6">
        <f>VLOOKUP(B45,'[1]附件六-費用調查表(表一)'!$E$7:$AA$112,9,FALSE)</f>
        <v>28080</v>
      </c>
      <c r="D45" s="6">
        <f>VLOOKUP(B45,'[1]附件六-費用調查表(表一)'!$E$7:$AA$112,10,FALSE)</f>
        <v>17280</v>
      </c>
      <c r="E45" s="6">
        <f>VLOOKUP(B45,'[1]附件六-費用調查表(表一)'!$E$7:$AA$112,11,FALSE)</f>
        <v>6480</v>
      </c>
      <c r="F45" s="6">
        <f>VLOOKUP(B45,'[1]附件六-費用調查表(表一)'!$E$7:$AA$112,13,FALSE)</f>
        <v>1620</v>
      </c>
      <c r="G45" s="6">
        <f>VLOOKUP(B45,'[1]附件六-費用調查表(表一)'!$E$7:$AA$112,14,FALSE)</f>
        <v>0</v>
      </c>
      <c r="H45" s="6">
        <f>VLOOKUP(B45,'[1]附件六-費用調查表(表一)'!$E$7:$AA$112,15,FALSE)</f>
        <v>0</v>
      </c>
      <c r="I45" s="7">
        <f t="shared" si="6"/>
        <v>53460</v>
      </c>
      <c r="J45" s="8">
        <f>VLOOKUP(B45,'[1]附件六-費用調查表(表一)'!$E$7:$AA$111,17,FALSE)</f>
        <v>13</v>
      </c>
      <c r="K45" s="9">
        <v>3646</v>
      </c>
      <c r="L45" s="17">
        <v>7869</v>
      </c>
      <c r="M45" s="11">
        <f>VLOOKUP('107學年度第2學期經費核定表'!B45,'[1]附件六-費用調查表(表一)'!$E$7:$AA$111,21,FALSE)</f>
        <v>7402</v>
      </c>
      <c r="N45" s="12">
        <f>VLOOKUP(B45,'[1]附件六-費用調查表(表一)'!$E$7:$AA$111,18,FALSE)</f>
        <v>0</v>
      </c>
      <c r="O45" s="12">
        <f>VLOOKUP(B45,'[1]附件六-費用調查表(表一)'!$E$7:$AA$111,22,FALSE)</f>
        <v>11224</v>
      </c>
      <c r="P45" s="12">
        <f>16835+4</f>
        <v>16839</v>
      </c>
      <c r="Q45" s="13">
        <v>0</v>
      </c>
      <c r="R45" s="13">
        <f t="shared" si="2"/>
        <v>6480</v>
      </c>
      <c r="S45" s="36">
        <f t="shared" si="3"/>
        <v>49801</v>
      </c>
      <c r="T45" s="14">
        <f t="shared" si="5"/>
        <v>3646</v>
      </c>
      <c r="U45" s="14">
        <f t="shared" si="4"/>
        <v>53447</v>
      </c>
    </row>
    <row r="46" spans="1:21" s="18" customFormat="1" ht="27.9" customHeight="1">
      <c r="A46" s="4">
        <v>42</v>
      </c>
      <c r="B46" s="16" t="s">
        <v>64</v>
      </c>
      <c r="C46" s="6">
        <f>VLOOKUP(B46,'[1]附件六-費用調查表(表一)'!$E$7:$AA$112,9,FALSE)</f>
        <v>79560</v>
      </c>
      <c r="D46" s="6">
        <f>VLOOKUP(B46,'[1]附件六-費用調查表(表一)'!$E$7:$AA$112,10,FALSE)</f>
        <v>46080</v>
      </c>
      <c r="E46" s="6">
        <f>VLOOKUP(B46,'[1]附件六-費用調查表(表一)'!$E$7:$AA$112,11,FALSE)</f>
        <v>18360</v>
      </c>
      <c r="F46" s="6">
        <f>VLOOKUP(B46,'[1]附件六-費用調查表(表一)'!$E$7:$AA$112,13,FALSE)</f>
        <v>4500</v>
      </c>
      <c r="G46" s="6">
        <f>VLOOKUP(B46,'[1]附件六-費用調查表(表一)'!$E$7:$AA$112,14,FALSE)</f>
        <v>0</v>
      </c>
      <c r="H46" s="6">
        <f>VLOOKUP(B46,'[1]附件六-費用調查表(表一)'!$E$7:$AA$112,15,FALSE)</f>
        <v>0</v>
      </c>
      <c r="I46" s="7">
        <f t="shared" si="6"/>
        <v>148500</v>
      </c>
      <c r="J46" s="8">
        <f>VLOOKUP(B46,'[1]附件六-費用調查表(表一)'!$E$7:$AA$111,17,FALSE)</f>
        <v>0</v>
      </c>
      <c r="K46" s="9"/>
      <c r="L46" s="17">
        <v>0</v>
      </c>
      <c r="M46" s="11">
        <f>VLOOKUP('107學年度第2學期經費核定表'!B46,'[1]附件六-費用調查表(表一)'!$E$7:$AA$111,21,FALSE)</f>
        <v>30150</v>
      </c>
      <c r="N46" s="12">
        <f>VLOOKUP(B46,'[1]附件六-費用調查表(表一)'!$E$7:$AA$111,18,FALSE)</f>
        <v>0</v>
      </c>
      <c r="O46" s="12">
        <f>VLOOKUP(B46,'[1]附件六-費用調查表(表一)'!$E$7:$AA$111,22,FALSE)</f>
        <v>39996</v>
      </c>
      <c r="P46" s="12">
        <f>VLOOKUP(B46,'[1]附件六-費用調查表(表一)'!$E$7:$AA$111,23,FALSE)</f>
        <v>59994</v>
      </c>
      <c r="Q46" s="13">
        <v>0</v>
      </c>
      <c r="R46" s="13">
        <f t="shared" si="2"/>
        <v>18360</v>
      </c>
      <c r="S46" s="36">
        <f t="shared" si="3"/>
        <v>148500</v>
      </c>
      <c r="T46" s="14">
        <f t="shared" si="5"/>
        <v>0</v>
      </c>
      <c r="U46" s="14">
        <f t="shared" si="4"/>
        <v>148500</v>
      </c>
    </row>
    <row r="47" spans="1:21" s="18" customFormat="1" ht="27.9" customHeight="1">
      <c r="A47" s="4">
        <v>43</v>
      </c>
      <c r="B47" s="16" t="s">
        <v>65</v>
      </c>
      <c r="C47" s="6">
        <f>VLOOKUP(B47,'[1]附件六-費用調查表(表一)'!$E$7:$AA$112,9,FALSE)</f>
        <v>32760</v>
      </c>
      <c r="D47" s="6">
        <f>VLOOKUP(B47,'[1]附件六-費用調查表(表一)'!$E$7:$AA$112,10,FALSE)</f>
        <v>34560</v>
      </c>
      <c r="E47" s="6">
        <f>VLOOKUP(B47,'[1]附件六-費用調查表(表一)'!$E$7:$AA$112,11,FALSE)</f>
        <v>7560</v>
      </c>
      <c r="F47" s="6">
        <f>VLOOKUP(B47,'[1]附件六-費用調查表(表一)'!$E$7:$AA$112,13,FALSE)</f>
        <v>2340</v>
      </c>
      <c r="G47" s="6">
        <f>VLOOKUP(B47,'[1]附件六-費用調查表(表一)'!$E$7:$AA$112,14,FALSE)</f>
        <v>0</v>
      </c>
      <c r="H47" s="6">
        <f>VLOOKUP(B47,'[1]附件六-費用調查表(表一)'!$E$7:$AA$112,15,FALSE)</f>
        <v>0</v>
      </c>
      <c r="I47" s="7">
        <f t="shared" si="6"/>
        <v>77220</v>
      </c>
      <c r="J47" s="8">
        <f>VLOOKUP(B47,'[1]附件六-費用調查表(表一)'!$E$7:$AA$111,17,FALSE)</f>
        <v>5070</v>
      </c>
      <c r="K47" s="9"/>
      <c r="L47" s="17">
        <v>0</v>
      </c>
      <c r="M47" s="11">
        <f>VLOOKUP('107學年度第2學期經費核定表'!B47,'[1]附件六-費用調查表(表一)'!$E$7:$AA$111,21,FALSE)</f>
        <v>32513</v>
      </c>
      <c r="N47" s="12">
        <f>VLOOKUP(B47,'[1]附件六-費用調查表(表一)'!$E$7:$AA$111,18,FALSE)</f>
        <v>0</v>
      </c>
      <c r="O47" s="12">
        <f>VLOOKUP(B47,'[1]附件六-費用調查表(表一)'!$E$7:$AA$111,22,FALSE)</f>
        <v>14859</v>
      </c>
      <c r="P47" s="12">
        <f>22287+1</f>
        <v>22288</v>
      </c>
      <c r="Q47" s="13">
        <v>0</v>
      </c>
      <c r="R47" s="13">
        <f t="shared" si="2"/>
        <v>7560</v>
      </c>
      <c r="S47" s="36">
        <f t="shared" si="3"/>
        <v>72150</v>
      </c>
      <c r="T47" s="14">
        <f t="shared" si="5"/>
        <v>0</v>
      </c>
      <c r="U47" s="14">
        <f t="shared" si="4"/>
        <v>72150</v>
      </c>
    </row>
    <row r="48" spans="1:21" s="18" customFormat="1" ht="27.9" customHeight="1">
      <c r="A48" s="4">
        <v>44</v>
      </c>
      <c r="B48" s="16" t="s">
        <v>66</v>
      </c>
      <c r="C48" s="6">
        <f>VLOOKUP(B48,'[1]附件六-費用調查表(表一)'!$E$7:$AA$112,9,FALSE)</f>
        <v>84240</v>
      </c>
      <c r="D48" s="6">
        <f>VLOOKUP(B48,'[1]附件六-費用調查表(表一)'!$E$7:$AA$112,10,FALSE)</f>
        <v>51840</v>
      </c>
      <c r="E48" s="6">
        <f>VLOOKUP(B48,'[1]附件六-費用調查表(表一)'!$E$7:$AA$112,11,FALSE)</f>
        <v>19440</v>
      </c>
      <c r="F48" s="6">
        <f>VLOOKUP(B48,'[1]附件六-費用調查表(表一)'!$E$7:$AA$112,13,FALSE)</f>
        <v>4860</v>
      </c>
      <c r="G48" s="6">
        <f>VLOOKUP(B48,'[1]附件六-費用調查表(表一)'!$E$7:$AA$112,14,FALSE)</f>
        <v>0</v>
      </c>
      <c r="H48" s="6">
        <f>VLOOKUP(B48,'[1]附件六-費用調查表(表一)'!$E$7:$AA$112,15,FALSE)</f>
        <v>0</v>
      </c>
      <c r="I48" s="7">
        <f t="shared" si="6"/>
        <v>160380</v>
      </c>
      <c r="J48" s="8">
        <f>VLOOKUP(B48,'[1]附件六-費用調查表(表一)'!$E$7:$AA$111,17,FALSE)</f>
        <v>0</v>
      </c>
      <c r="K48" s="9">
        <v>16472</v>
      </c>
      <c r="L48" s="17">
        <v>1944</v>
      </c>
      <c r="M48" s="11">
        <f>VLOOKUP('107學年度第2學期經費核定表'!B48,'[1]附件六-費用調查表(表一)'!$E$7:$AA$111,21,FALSE)</f>
        <v>5115</v>
      </c>
      <c r="N48" s="12">
        <f>VLOOKUP(B48,'[1]附件六-費用調查表(表一)'!$E$7:$AA$111,18,FALSE)</f>
        <v>0</v>
      </c>
      <c r="O48" s="12">
        <f>VLOOKUP(B48,'[1]附件六-費用調查表(表一)'!$E$7:$AA$111,22,FALSE)</f>
        <v>47363</v>
      </c>
      <c r="P48" s="12">
        <f>71043+3</f>
        <v>71046</v>
      </c>
      <c r="Q48" s="13">
        <v>0</v>
      </c>
      <c r="R48" s="13">
        <f t="shared" si="2"/>
        <v>19440</v>
      </c>
      <c r="S48" s="36">
        <f t="shared" si="3"/>
        <v>144908</v>
      </c>
      <c r="T48" s="14">
        <v>16472</v>
      </c>
      <c r="U48" s="14">
        <f t="shared" si="4"/>
        <v>161380</v>
      </c>
    </row>
    <row r="49" spans="1:21" s="15" customFormat="1" ht="27.9" customHeight="1">
      <c r="A49" s="4">
        <v>45</v>
      </c>
      <c r="B49" s="5" t="s">
        <v>67</v>
      </c>
      <c r="C49" s="6">
        <f>VLOOKUP(B49,'[1]附件六-費用調查表(表一)'!$E$7:$AA$112,9,FALSE)</f>
        <v>15600</v>
      </c>
      <c r="D49" s="6">
        <f>VLOOKUP(B49,'[1]附件六-費用調查表(表一)'!$E$7:$AA$112,10,FALSE)</f>
        <v>75840</v>
      </c>
      <c r="E49" s="6">
        <f>VLOOKUP(B49,'[1]附件六-費用調查表(表一)'!$E$7:$AA$112,11,FALSE)</f>
        <v>3600</v>
      </c>
      <c r="F49" s="6">
        <f>VLOOKUP(B49,'[1]附件六-費用調查表(表一)'!$E$7:$AA$112,13,FALSE)</f>
        <v>2970</v>
      </c>
      <c r="G49" s="6">
        <f>VLOOKUP(B49,'[1]附件六-費用調查表(表一)'!$E$7:$AA$112,14,FALSE)</f>
        <v>0</v>
      </c>
      <c r="H49" s="6">
        <f>VLOOKUP(B49,'[1]附件六-費用調查表(表一)'!$E$7:$AA$112,15,FALSE)</f>
        <v>0</v>
      </c>
      <c r="I49" s="7">
        <f t="shared" si="6"/>
        <v>98010</v>
      </c>
      <c r="J49" s="8">
        <f>VLOOKUP(B49,'[1]附件六-費用調查表(表一)'!$E$7:$AA$111,17,FALSE)</f>
        <v>18095</v>
      </c>
      <c r="K49" s="9"/>
      <c r="L49" s="10">
        <v>0</v>
      </c>
      <c r="M49" s="11">
        <f>VLOOKUP('107學年度第2學期經費核定表'!B49,'[1]附件六-費用調查表(表一)'!$E$7:$AA$111,21,FALSE)</f>
        <v>10045</v>
      </c>
      <c r="N49" s="12">
        <f>VLOOKUP(B49,'[1]附件六-費用調查表(表一)'!$E$7:$AA$111,18,FALSE)</f>
        <v>0</v>
      </c>
      <c r="O49" s="12">
        <f>VLOOKUP(B49,'[1]附件六-費用調查表(表一)'!$E$7:$AA$111,22,FALSE)</f>
        <v>33745</v>
      </c>
      <c r="P49" s="12">
        <f>50617+3</f>
        <v>50620</v>
      </c>
      <c r="Q49" s="13">
        <v>0</v>
      </c>
      <c r="R49" s="13">
        <f t="shared" si="2"/>
        <v>3600</v>
      </c>
      <c r="S49" s="36">
        <f t="shared" si="3"/>
        <v>79915</v>
      </c>
      <c r="T49" s="14">
        <f t="shared" ref="T49:T80" si="7">K49</f>
        <v>0</v>
      </c>
      <c r="U49" s="14">
        <f t="shared" si="4"/>
        <v>79915</v>
      </c>
    </row>
    <row r="50" spans="1:21" s="15" customFormat="1" ht="27.9" customHeight="1">
      <c r="A50" s="4">
        <v>46</v>
      </c>
      <c r="B50" s="5" t="s">
        <v>68</v>
      </c>
      <c r="C50" s="6">
        <f>VLOOKUP(B50,'[1]附件六-費用調查表(表一)'!$E$7:$AA$112,9,FALSE)</f>
        <v>18720</v>
      </c>
      <c r="D50" s="6">
        <f>VLOOKUP(B50,'[1]附件六-費用調查表(表一)'!$E$7:$AA$112,10,FALSE)</f>
        <v>28800</v>
      </c>
      <c r="E50" s="6">
        <f>VLOOKUP(B50,'[1]附件六-費用調查表(表一)'!$E$7:$AA$112,11,FALSE)</f>
        <v>4320</v>
      </c>
      <c r="F50" s="6">
        <f>VLOOKUP(B50,'[1]附件六-費用調查表(表一)'!$E$7:$AA$112,13,FALSE)</f>
        <v>1620</v>
      </c>
      <c r="G50" s="6">
        <f>VLOOKUP(B50,'[1]附件六-費用調查表(表一)'!$E$7:$AA$112,14,FALSE)</f>
        <v>0</v>
      </c>
      <c r="H50" s="6">
        <f>VLOOKUP(B50,'[1]附件六-費用調查表(表一)'!$E$7:$AA$112,15,FALSE)</f>
        <v>0</v>
      </c>
      <c r="I50" s="7">
        <f t="shared" si="6"/>
        <v>53460</v>
      </c>
      <c r="J50" s="8">
        <f>VLOOKUP(B50,'[1]附件六-費用調查表(表一)'!$E$7:$AA$111,17,FALSE)</f>
        <v>0</v>
      </c>
      <c r="K50" s="9"/>
      <c r="L50" s="10">
        <v>0</v>
      </c>
      <c r="M50" s="11">
        <f>VLOOKUP('107學年度第2學期經費核定表'!B50,'[1]附件六-費用調查表(表一)'!$E$7:$AA$111,21,FALSE)</f>
        <v>0</v>
      </c>
      <c r="N50" s="12">
        <f>VLOOKUP(B50,'[1]附件六-費用調查表(表一)'!$E$7:$AA$111,18,FALSE)</f>
        <v>0</v>
      </c>
      <c r="O50" s="12">
        <f>VLOOKUP(B50,'[1]附件六-費用調查表(表一)'!$E$7:$AA$111,22,FALSE)</f>
        <v>19656</v>
      </c>
      <c r="P50" s="12">
        <f>VLOOKUP(B50,'[1]附件六-費用調查表(表一)'!$E$7:$AA$111,23,FALSE)</f>
        <v>29484</v>
      </c>
      <c r="Q50" s="13">
        <v>120</v>
      </c>
      <c r="R50" s="13">
        <f t="shared" si="2"/>
        <v>4320</v>
      </c>
      <c r="S50" s="36">
        <f t="shared" si="3"/>
        <v>53580</v>
      </c>
      <c r="T50" s="14">
        <f t="shared" si="7"/>
        <v>0</v>
      </c>
      <c r="U50" s="14">
        <f t="shared" si="4"/>
        <v>53580</v>
      </c>
    </row>
    <row r="51" spans="1:21" s="15" customFormat="1" ht="27.9" customHeight="1">
      <c r="A51" s="4">
        <v>47</v>
      </c>
      <c r="B51" s="5" t="s">
        <v>69</v>
      </c>
      <c r="C51" s="6">
        <f>VLOOKUP(B51,'[1]附件六-費用調查表(表一)'!$E$7:$AA$112,9,FALSE)</f>
        <v>37440</v>
      </c>
      <c r="D51" s="6">
        <f>VLOOKUP(B51,'[1]附件六-費用調查表(表一)'!$E$7:$AA$112,10,FALSE)</f>
        <v>16320</v>
      </c>
      <c r="E51" s="6">
        <f>VLOOKUP(B51,'[1]附件六-費用調查表(表一)'!$E$7:$AA$112,11,FALSE)</f>
        <v>8640</v>
      </c>
      <c r="F51" s="6">
        <f>VLOOKUP(B51,'[1]附件六-費用調查表(表一)'!$E$7:$AA$112,13,FALSE)</f>
        <v>1950</v>
      </c>
      <c r="G51" s="6">
        <f>VLOOKUP(B51,'[1]附件六-費用調查表(表一)'!$E$7:$AA$112,14,FALSE)</f>
        <v>0</v>
      </c>
      <c r="H51" s="6">
        <f>VLOOKUP(B51,'[1]附件六-費用調查表(表一)'!$E$7:$AA$112,15,FALSE)</f>
        <v>0</v>
      </c>
      <c r="I51" s="7">
        <f t="shared" si="6"/>
        <v>64350</v>
      </c>
      <c r="J51" s="8">
        <f>VLOOKUP(B51,'[1]附件六-費用調查表(表一)'!$E$7:$AA$111,17,FALSE)</f>
        <v>0</v>
      </c>
      <c r="K51" s="9"/>
      <c r="L51" s="10">
        <v>0</v>
      </c>
      <c r="M51" s="11">
        <f>VLOOKUP('107學年度第2學期經費核定表'!B51,'[1]附件六-費用調查表(表一)'!$E$7:$AA$111,21,FALSE)</f>
        <v>0</v>
      </c>
      <c r="N51" s="12">
        <f>VLOOKUP(B51,'[1]附件六-費用調查表(表一)'!$E$7:$AA$111,18,FALSE)</f>
        <v>0</v>
      </c>
      <c r="O51" s="12">
        <f>VLOOKUP(B51,'[1]附件六-費用調查表(表一)'!$E$7:$AA$111,22,FALSE)</f>
        <v>22284</v>
      </c>
      <c r="P51" s="12">
        <f>VLOOKUP(B51,'[1]附件六-費用調查表(表一)'!$E$7:$AA$111,23,FALSE)</f>
        <v>33426</v>
      </c>
      <c r="Q51" s="13">
        <v>0</v>
      </c>
      <c r="R51" s="13">
        <f t="shared" si="2"/>
        <v>8640</v>
      </c>
      <c r="S51" s="36">
        <f t="shared" si="3"/>
        <v>64350</v>
      </c>
      <c r="T51" s="14">
        <f t="shared" si="7"/>
        <v>0</v>
      </c>
      <c r="U51" s="14">
        <f t="shared" si="4"/>
        <v>64350</v>
      </c>
    </row>
    <row r="52" spans="1:21" s="15" customFormat="1" ht="27.9" customHeight="1">
      <c r="A52" s="4">
        <v>48</v>
      </c>
      <c r="B52" s="5" t="s">
        <v>70</v>
      </c>
      <c r="C52" s="6">
        <f>VLOOKUP(B52,'[1]附件六-費用調查表(表一)'!$E$7:$AA$112,9,FALSE)</f>
        <v>23400</v>
      </c>
      <c r="D52" s="6">
        <f>VLOOKUP(B52,'[1]附件六-費用調查表(表一)'!$E$7:$AA$112,10,FALSE)</f>
        <v>0</v>
      </c>
      <c r="E52" s="6">
        <f>VLOOKUP(B52,'[1]附件六-費用調查表(表一)'!$E$7:$AA$112,11,FALSE)</f>
        <v>5400</v>
      </c>
      <c r="F52" s="6">
        <f>VLOOKUP(B52,'[1]附件六-費用調查表(表一)'!$E$7:$AA$112,13,FALSE)</f>
        <v>900</v>
      </c>
      <c r="G52" s="6">
        <f>VLOOKUP(B52,'[1]附件六-費用調查表(表一)'!$E$7:$AA$112,14,FALSE)</f>
        <v>0</v>
      </c>
      <c r="H52" s="6">
        <f>VLOOKUP(B52,'[1]附件六-費用調查表(表一)'!$E$7:$AA$112,15,FALSE)</f>
        <v>0</v>
      </c>
      <c r="I52" s="7">
        <f t="shared" si="6"/>
        <v>29700</v>
      </c>
      <c r="J52" s="8">
        <f>VLOOKUP(B52,'[1]附件六-費用調查表(表一)'!$E$7:$AA$111,17,FALSE)</f>
        <v>0</v>
      </c>
      <c r="K52" s="9"/>
      <c r="L52" s="10">
        <v>0</v>
      </c>
      <c r="M52" s="11">
        <f>VLOOKUP('107學年度第2學期經費核定表'!B52,'[1]附件六-費用調查表(表一)'!$E$7:$AA$111,21,FALSE)</f>
        <v>0</v>
      </c>
      <c r="N52" s="12">
        <f>VLOOKUP(B52,'[1]附件六-費用調查表(表一)'!$E$7:$AA$111,18,FALSE)</f>
        <v>0</v>
      </c>
      <c r="O52" s="12">
        <f>VLOOKUP(B52,'[1]附件六-費用調查表(表一)'!$E$7:$AA$111,22,FALSE)</f>
        <v>9720</v>
      </c>
      <c r="P52" s="12">
        <f>VLOOKUP(B52,'[1]附件六-費用調查表(表一)'!$E$7:$AA$111,23,FALSE)</f>
        <v>14580</v>
      </c>
      <c r="Q52" s="13">
        <v>300</v>
      </c>
      <c r="R52" s="13">
        <f t="shared" si="2"/>
        <v>5400</v>
      </c>
      <c r="S52" s="36">
        <f t="shared" si="3"/>
        <v>30000</v>
      </c>
      <c r="T52" s="14">
        <f t="shared" si="7"/>
        <v>0</v>
      </c>
      <c r="U52" s="14">
        <f t="shared" si="4"/>
        <v>30000</v>
      </c>
    </row>
    <row r="53" spans="1:21" s="15" customFormat="1" ht="27.9" customHeight="1">
      <c r="A53" s="4">
        <v>49</v>
      </c>
      <c r="B53" s="5" t="s">
        <v>71</v>
      </c>
      <c r="C53" s="6">
        <f>VLOOKUP(B53,'[1]附件六-費用調查表(表一)'!$E$7:$AA$112,9,FALSE)</f>
        <v>56160</v>
      </c>
      <c r="D53" s="6">
        <f>VLOOKUP(B53,'[1]附件六-費用調查表(表一)'!$E$7:$AA$112,10,FALSE)</f>
        <v>0</v>
      </c>
      <c r="E53" s="6">
        <f>VLOOKUP(B53,'[1]附件六-費用調查表(表一)'!$E$7:$AA$112,11,FALSE)</f>
        <v>12960</v>
      </c>
      <c r="F53" s="6">
        <f>VLOOKUP(B53,'[1]附件六-費用調查表(表一)'!$E$7:$AA$112,13,FALSE)</f>
        <v>2160</v>
      </c>
      <c r="G53" s="6">
        <f>VLOOKUP(B53,'[1]附件六-費用調查表(表一)'!$E$7:$AA$112,14,FALSE)</f>
        <v>0</v>
      </c>
      <c r="H53" s="6">
        <f>VLOOKUP(B53,'[1]附件六-費用調查表(表一)'!$E$7:$AA$112,15,FALSE)</f>
        <v>0</v>
      </c>
      <c r="I53" s="7">
        <f t="shared" si="6"/>
        <v>71280</v>
      </c>
      <c r="J53" s="8">
        <f>VLOOKUP(B53,'[1]附件六-費用調查表(表一)'!$E$7:$AA$111,17,FALSE)</f>
        <v>0</v>
      </c>
      <c r="K53" s="9"/>
      <c r="L53" s="10">
        <v>0</v>
      </c>
      <c r="M53" s="11">
        <f>VLOOKUP('107學年度第2學期經費核定表'!B53,'[1]附件六-費用調查表(表一)'!$E$7:$AA$111,21,FALSE)</f>
        <v>0</v>
      </c>
      <c r="N53" s="12">
        <f>VLOOKUP(B53,'[1]附件六-費用調查表(表一)'!$E$7:$AA$111,18,FALSE)</f>
        <v>0</v>
      </c>
      <c r="O53" s="12">
        <f>VLOOKUP(B53,'[1]附件六-費用調查表(表一)'!$E$7:$AA$111,22,FALSE)</f>
        <v>23328</v>
      </c>
      <c r="P53" s="12">
        <f>VLOOKUP(B53,'[1]附件六-費用調查表(表一)'!$E$7:$AA$111,23,FALSE)</f>
        <v>34992</v>
      </c>
      <c r="Q53" s="13">
        <v>0</v>
      </c>
      <c r="R53" s="13">
        <f t="shared" si="2"/>
        <v>12960</v>
      </c>
      <c r="S53" s="36">
        <f t="shared" si="3"/>
        <v>71280</v>
      </c>
      <c r="T53" s="14">
        <f t="shared" si="7"/>
        <v>0</v>
      </c>
      <c r="U53" s="14">
        <f t="shared" si="4"/>
        <v>71280</v>
      </c>
    </row>
    <row r="54" spans="1:21" s="15" customFormat="1" ht="27.9" customHeight="1">
      <c r="A54" s="4">
        <v>50</v>
      </c>
      <c r="B54" s="5" t="s">
        <v>72</v>
      </c>
      <c r="C54" s="6">
        <f>VLOOKUP(B54,'[1]附件六-費用調查表(表一)'!$E$7:$AA$112,9,FALSE)</f>
        <v>126360</v>
      </c>
      <c r="D54" s="6">
        <f>VLOOKUP(B54,'[1]附件六-費用調查表(表一)'!$E$7:$AA$112,10,FALSE)</f>
        <v>69120</v>
      </c>
      <c r="E54" s="6">
        <f>VLOOKUP(B54,'[1]附件六-費用調查表(表一)'!$E$7:$AA$112,11,FALSE)</f>
        <v>29160</v>
      </c>
      <c r="F54" s="6">
        <f>VLOOKUP(B54,'[1]附件六-費用調查表(表一)'!$E$7:$AA$112,13,FALSE)</f>
        <v>7020</v>
      </c>
      <c r="G54" s="6">
        <f>VLOOKUP(B54,'[1]附件六-費用調查表(表一)'!$E$7:$AA$112,14,FALSE)</f>
        <v>2371</v>
      </c>
      <c r="H54" s="6">
        <f>VLOOKUP(B54,'[1]附件六-費用調查表(表一)'!$E$7:$AA$112,15,FALSE)</f>
        <v>1822</v>
      </c>
      <c r="I54" s="7">
        <f t="shared" si="6"/>
        <v>235853</v>
      </c>
      <c r="J54" s="8">
        <f>VLOOKUP(B54,'[1]附件六-費用調查表(表一)'!$E$7:$AA$111,17,FALSE)</f>
        <v>0</v>
      </c>
      <c r="K54" s="9">
        <v>54488</v>
      </c>
      <c r="L54" s="10">
        <v>56656</v>
      </c>
      <c r="M54" s="11">
        <f>VLOOKUP('107學年度第2學期經費核定表'!B54,'[1]附件六-費用調查表(表一)'!$E$7:$AA$111,21,FALSE)</f>
        <v>15192</v>
      </c>
      <c r="N54" s="12">
        <f>VLOOKUP(B54,'[1]附件六-費用調查表(表一)'!$E$7:$AA$111,18,FALSE)</f>
        <v>0</v>
      </c>
      <c r="O54" s="12">
        <f>VLOOKUP(B54,'[1]附件六-費用調查表(表一)'!$E$7:$AA$111,22,FALSE)</f>
        <v>32142</v>
      </c>
      <c r="P54" s="12">
        <f>48213+2</f>
        <v>48215</v>
      </c>
      <c r="Q54" s="13">
        <v>0</v>
      </c>
      <c r="R54" s="13">
        <f t="shared" si="2"/>
        <v>29160</v>
      </c>
      <c r="S54" s="36">
        <f t="shared" si="3"/>
        <v>181365</v>
      </c>
      <c r="T54" s="14">
        <f t="shared" si="7"/>
        <v>54488</v>
      </c>
      <c r="U54" s="14">
        <f t="shared" si="4"/>
        <v>235853</v>
      </c>
    </row>
    <row r="55" spans="1:21" s="15" customFormat="1" ht="27.9" customHeight="1">
      <c r="A55" s="4">
        <v>51</v>
      </c>
      <c r="B55" s="5" t="s">
        <v>73</v>
      </c>
      <c r="C55" s="6">
        <f>VLOOKUP(B55,'[1]附件六-費用調查表(表一)'!$E$7:$AA$112,9,FALSE)</f>
        <v>33930</v>
      </c>
      <c r="D55" s="6">
        <f>VLOOKUP(B55,'[1]附件六-費用調查表(表一)'!$E$7:$AA$112,10,FALSE)</f>
        <v>4640</v>
      </c>
      <c r="E55" s="6">
        <f>VLOOKUP(B55,'[1]附件六-費用調查表(表一)'!$E$7:$AA$112,11,FALSE)</f>
        <v>7830</v>
      </c>
      <c r="F55" s="6">
        <f>VLOOKUP(B55,'[1]附件六-費用調查表(表一)'!$E$7:$AA$112,13,FALSE)</f>
        <v>1450</v>
      </c>
      <c r="G55" s="6">
        <f>VLOOKUP(B55,'[1]附件六-費用調查表(表一)'!$E$7:$AA$112,14,FALSE)</f>
        <v>0</v>
      </c>
      <c r="H55" s="6">
        <f>VLOOKUP(B55,'[1]附件六-費用調查表(表一)'!$E$7:$AA$112,15,FALSE)</f>
        <v>0</v>
      </c>
      <c r="I55" s="7">
        <f t="shared" si="6"/>
        <v>47850</v>
      </c>
      <c r="J55" s="8">
        <f>VLOOKUP(B55,'[1]附件六-費用調查表(表一)'!$E$7:$AA$111,17,FALSE)</f>
        <v>0</v>
      </c>
      <c r="K55" s="9"/>
      <c r="L55" s="10">
        <v>0</v>
      </c>
      <c r="M55" s="11">
        <f>VLOOKUP('107學年度第2學期經費核定表'!B55,'[1]附件六-費用調查表(表一)'!$E$7:$AA$111,21,FALSE)</f>
        <v>0</v>
      </c>
      <c r="N55" s="12">
        <f>VLOOKUP(B55,'[1]附件六-費用調查表(表一)'!$E$7:$AA$111,18,FALSE)</f>
        <v>0</v>
      </c>
      <c r="O55" s="12">
        <f>VLOOKUP(B55,'[1]附件六-費用調查表(表一)'!$E$7:$AA$111,22,FALSE)</f>
        <v>16008</v>
      </c>
      <c r="P55" s="12">
        <f>VLOOKUP(B55,'[1]附件六-費用調查表(表一)'!$E$7:$AA$111,23,FALSE)</f>
        <v>24012</v>
      </c>
      <c r="Q55" s="13">
        <v>105</v>
      </c>
      <c r="R55" s="13">
        <f t="shared" si="2"/>
        <v>7830</v>
      </c>
      <c r="S55" s="36">
        <f t="shared" si="3"/>
        <v>47955</v>
      </c>
      <c r="T55" s="14">
        <f t="shared" si="7"/>
        <v>0</v>
      </c>
      <c r="U55" s="14">
        <f t="shared" si="4"/>
        <v>47955</v>
      </c>
    </row>
    <row r="56" spans="1:21" s="15" customFormat="1" ht="27.9" customHeight="1">
      <c r="A56" s="4">
        <v>52</v>
      </c>
      <c r="B56" s="5" t="s">
        <v>74</v>
      </c>
      <c r="C56" s="6">
        <f>VLOOKUP(B56,'[1]附件六-費用調查表(表一)'!$E$7:$AA$112,9,FALSE)</f>
        <v>10140</v>
      </c>
      <c r="D56" s="6">
        <f>VLOOKUP(B56,'[1]附件六-費用調查表(表一)'!$E$7:$AA$112,10,FALSE)</f>
        <v>20800</v>
      </c>
      <c r="E56" s="6">
        <f>VLOOKUP(B56,'[1]附件六-費用調查表(表一)'!$E$7:$AA$112,11,FALSE)</f>
        <v>2340</v>
      </c>
      <c r="F56" s="6">
        <f>VLOOKUP(B56,'[1]附件六-費用調查表(表一)'!$E$7:$AA$112,13,FALSE)</f>
        <v>1040</v>
      </c>
      <c r="G56" s="6">
        <f>VLOOKUP(B56,'[1]附件六-費用調查表(表一)'!$E$7:$AA$112,14,FALSE)</f>
        <v>0</v>
      </c>
      <c r="H56" s="6">
        <f>VLOOKUP(B56,'[1]附件六-費用調查表(表一)'!$E$7:$AA$112,15,FALSE)</f>
        <v>0</v>
      </c>
      <c r="I56" s="7">
        <f t="shared" si="6"/>
        <v>34320</v>
      </c>
      <c r="J56" s="8">
        <f>VLOOKUP(B56,'[1]附件六-費用調查表(表一)'!$E$7:$AA$111,17,FALSE)</f>
        <v>430</v>
      </c>
      <c r="K56" s="9"/>
      <c r="L56" s="10">
        <v>3120</v>
      </c>
      <c r="M56" s="11">
        <f>VLOOKUP('107學年度第2學期經費核定表'!B56,'[1]附件六-費用調查表(表一)'!$E$7:$AA$111,21,FALSE)</f>
        <v>0</v>
      </c>
      <c r="N56" s="12">
        <f>VLOOKUP(B56,'[1]附件六-費用調查表(表一)'!$E$7:$AA$111,18,FALSE)</f>
        <v>0</v>
      </c>
      <c r="O56" s="12">
        <f>VLOOKUP(B56,'[1]附件六-費用調查表(表一)'!$E$7:$AA$111,22,FALSE)</f>
        <v>11544</v>
      </c>
      <c r="P56" s="12">
        <f>VLOOKUP(B56,'[1]附件六-費用調查表(表一)'!$E$7:$AA$111,23,FALSE)</f>
        <v>17316</v>
      </c>
      <c r="Q56" s="13">
        <v>0</v>
      </c>
      <c r="R56" s="13">
        <f t="shared" si="2"/>
        <v>2340</v>
      </c>
      <c r="S56" s="36">
        <f t="shared" si="3"/>
        <v>33890</v>
      </c>
      <c r="T56" s="14">
        <f t="shared" si="7"/>
        <v>0</v>
      </c>
      <c r="U56" s="14">
        <f t="shared" si="4"/>
        <v>33890</v>
      </c>
    </row>
    <row r="57" spans="1:21" s="15" customFormat="1" ht="27.9" customHeight="1">
      <c r="A57" s="4">
        <v>53</v>
      </c>
      <c r="B57" s="5" t="s">
        <v>75</v>
      </c>
      <c r="C57" s="6">
        <f>VLOOKUP(B57,'[1]附件六-費用調查表(表一)'!$E$7:$AA$112,9,FALSE)</f>
        <v>51480</v>
      </c>
      <c r="D57" s="6">
        <f>VLOOKUP(B57,'[1]附件六-費用調查表(表一)'!$E$7:$AA$112,10,FALSE)</f>
        <v>0</v>
      </c>
      <c r="E57" s="6">
        <f>VLOOKUP(B57,'[1]附件六-費用調查表(表一)'!$E$7:$AA$112,11,FALSE)</f>
        <v>11880</v>
      </c>
      <c r="F57" s="6">
        <f>VLOOKUP(B57,'[1]附件六-費用調查表(表一)'!$E$7:$AA$112,13,FALSE)</f>
        <v>1980</v>
      </c>
      <c r="G57" s="6">
        <f>VLOOKUP(B57,'[1]附件六-費用調查表(表一)'!$E$7:$AA$112,14,FALSE)</f>
        <v>0</v>
      </c>
      <c r="H57" s="6">
        <f>VLOOKUP(B57,'[1]附件六-費用調查表(表一)'!$E$7:$AA$112,15,FALSE)</f>
        <v>0</v>
      </c>
      <c r="I57" s="7">
        <f t="shared" si="6"/>
        <v>65340</v>
      </c>
      <c r="J57" s="8">
        <f>VLOOKUP(B57,'[1]附件六-費用調查表(表一)'!$E$7:$AA$111,17,FALSE)</f>
        <v>10598</v>
      </c>
      <c r="K57" s="9"/>
      <c r="L57" s="10">
        <v>0</v>
      </c>
      <c r="M57" s="11">
        <f>VLOOKUP('107學年度第2學期經費核定表'!B57,'[1]附件六-費用調查表(表一)'!$E$7:$AA$111,21,FALSE)</f>
        <v>9608</v>
      </c>
      <c r="N57" s="12">
        <f>VLOOKUP(B57,'[1]附件六-費用調查表(表一)'!$E$7:$AA$111,18,FALSE)</f>
        <v>0</v>
      </c>
      <c r="O57" s="12">
        <f>VLOOKUP(B57,'[1]附件六-費用調查表(表一)'!$E$7:$AA$111,22,FALSE)</f>
        <v>17540</v>
      </c>
      <c r="P57" s="12">
        <f>26308+4</f>
        <v>26312</v>
      </c>
      <c r="Q57" s="13">
        <v>0</v>
      </c>
      <c r="R57" s="13">
        <f t="shared" si="2"/>
        <v>11880</v>
      </c>
      <c r="S57" s="36">
        <f t="shared" si="3"/>
        <v>54742</v>
      </c>
      <c r="T57" s="14">
        <f t="shared" si="7"/>
        <v>0</v>
      </c>
      <c r="U57" s="14">
        <f t="shared" si="4"/>
        <v>54742</v>
      </c>
    </row>
    <row r="58" spans="1:21" s="15" customFormat="1" ht="27.9" customHeight="1">
      <c r="A58" s="4">
        <v>54</v>
      </c>
      <c r="B58" s="5" t="s">
        <v>76</v>
      </c>
      <c r="C58" s="6">
        <f>VLOOKUP(B58,'[1]附件六-費用調查表(表一)'!$E$7:$AA$112,9,FALSE)</f>
        <v>46800</v>
      </c>
      <c r="D58" s="6">
        <f>VLOOKUP(B58,'[1]附件六-費用調查表(表一)'!$E$7:$AA$112,10,FALSE)</f>
        <v>0</v>
      </c>
      <c r="E58" s="6">
        <f>VLOOKUP(B58,'[1]附件六-費用調查表(表一)'!$E$7:$AA$112,11,FALSE)</f>
        <v>10800</v>
      </c>
      <c r="F58" s="6">
        <f>VLOOKUP(B58,'[1]附件六-費用調查表(表一)'!$E$7:$AA$112,13,FALSE)</f>
        <v>1800</v>
      </c>
      <c r="G58" s="6">
        <f>VLOOKUP(B58,'[1]附件六-費用調查表(表一)'!$E$7:$AA$112,14,FALSE)</f>
        <v>0</v>
      </c>
      <c r="H58" s="6">
        <f>VLOOKUP(B58,'[1]附件六-費用調查表(表一)'!$E$7:$AA$112,15,FALSE)</f>
        <v>0</v>
      </c>
      <c r="I58" s="7">
        <f t="shared" si="6"/>
        <v>59400</v>
      </c>
      <c r="J58" s="8">
        <f>VLOOKUP(B58,'[1]附件六-費用調查表(表一)'!$E$7:$AA$111,17,FALSE)</f>
        <v>520</v>
      </c>
      <c r="K58" s="9"/>
      <c r="L58" s="10">
        <v>0</v>
      </c>
      <c r="M58" s="11">
        <f>VLOOKUP('107學年度第2學期經費核定表'!B58,'[1]附件六-費用調查表(表一)'!$E$7:$AA$111,21,FALSE)</f>
        <v>0</v>
      </c>
      <c r="N58" s="12">
        <f>VLOOKUP(B58,'[1]附件六-費用調查表(表一)'!$E$7:$AA$111,18,FALSE)</f>
        <v>0</v>
      </c>
      <c r="O58" s="12">
        <f>VLOOKUP(B58,'[1]附件六-費用調查表(表一)'!$E$7:$AA$111,22,FALSE)</f>
        <v>19440</v>
      </c>
      <c r="P58" s="12">
        <f>VLOOKUP(B58,'[1]附件六-費用調查表(表一)'!$E$7:$AA$111,23,FALSE)</f>
        <v>29160</v>
      </c>
      <c r="Q58" s="13">
        <v>1280</v>
      </c>
      <c r="R58" s="13">
        <f t="shared" si="2"/>
        <v>10800</v>
      </c>
      <c r="S58" s="36">
        <f t="shared" si="3"/>
        <v>60160</v>
      </c>
      <c r="T58" s="14">
        <f t="shared" si="7"/>
        <v>0</v>
      </c>
      <c r="U58" s="14">
        <f t="shared" si="4"/>
        <v>60160</v>
      </c>
    </row>
    <row r="59" spans="1:21" s="15" customFormat="1" ht="27.9" customHeight="1">
      <c r="A59" s="4">
        <v>55</v>
      </c>
      <c r="B59" s="5" t="s">
        <v>77</v>
      </c>
      <c r="C59" s="6">
        <f>VLOOKUP(B59,'[1]附件六-費用調查表(表一)'!$E$7:$AA$112,9,FALSE)</f>
        <v>98280</v>
      </c>
      <c r="D59" s="6">
        <f>VLOOKUP(B59,'[1]附件六-費用調查表(表一)'!$E$7:$AA$112,10,FALSE)</f>
        <v>161280</v>
      </c>
      <c r="E59" s="6">
        <f>VLOOKUP(B59,'[1]附件六-費用調查表(表一)'!$E$7:$AA$112,11,FALSE)</f>
        <v>22680</v>
      </c>
      <c r="F59" s="6">
        <f>VLOOKUP(B59,'[1]附件六-費用調查表(表一)'!$E$7:$AA$112,13,FALSE)</f>
        <v>8820</v>
      </c>
      <c r="G59" s="6">
        <f>VLOOKUP(B59,'[1]附件六-費用調查表(表一)'!$E$7:$AA$112,14,FALSE)</f>
        <v>0</v>
      </c>
      <c r="H59" s="6">
        <f>VLOOKUP(B59,'[1]附件六-費用調查表(表一)'!$E$7:$AA$112,15,FALSE)</f>
        <v>0</v>
      </c>
      <c r="I59" s="7">
        <f t="shared" si="6"/>
        <v>291060</v>
      </c>
      <c r="J59" s="8">
        <f>VLOOKUP(B59,'[1]附件六-費用調查表(表一)'!$E$7:$AA$111,17,FALSE)</f>
        <v>0</v>
      </c>
      <c r="K59" s="9">
        <v>42765</v>
      </c>
      <c r="L59" s="10">
        <v>96425</v>
      </c>
      <c r="M59" s="11">
        <f>VLOOKUP('107學年度第2學期經費核定表'!B59,'[1]附件六-費用調查表(表一)'!$E$7:$AA$111,21,FALSE)</f>
        <v>0</v>
      </c>
      <c r="N59" s="12">
        <f>VLOOKUP(B59,'[1]附件六-費用調查表(表一)'!$E$7:$AA$111,18,FALSE)</f>
        <v>9537</v>
      </c>
      <c r="O59" s="12">
        <f>VLOOKUP(B59,'[1]附件六-費用調查表(表一)'!$E$7:$AA$111,22,FALSE)</f>
        <v>42135</v>
      </c>
      <c r="P59" s="12">
        <f>77508+10</f>
        <v>77518</v>
      </c>
      <c r="Q59" s="13">
        <v>2100</v>
      </c>
      <c r="R59" s="13">
        <f t="shared" si="2"/>
        <v>22680</v>
      </c>
      <c r="S59" s="36">
        <f t="shared" si="3"/>
        <v>240858</v>
      </c>
      <c r="T59" s="14">
        <f t="shared" si="7"/>
        <v>42765</v>
      </c>
      <c r="U59" s="14">
        <f t="shared" si="4"/>
        <v>283623</v>
      </c>
    </row>
    <row r="60" spans="1:21" s="15" customFormat="1" ht="27.9" customHeight="1">
      <c r="A60" s="4">
        <v>56</v>
      </c>
      <c r="B60" s="5" t="s">
        <v>78</v>
      </c>
      <c r="C60" s="6">
        <f>VLOOKUP(B60,'[1]附件六-費用調查表(表一)'!$E$7:$AA$112,9,FALSE)</f>
        <v>32240</v>
      </c>
      <c r="D60" s="6">
        <f>VLOOKUP(B60,'[1]附件六-費用調查表(表一)'!$E$7:$AA$112,10,FALSE)</f>
        <v>69120</v>
      </c>
      <c r="E60" s="6">
        <f>VLOOKUP(B60,'[1]附件六-費用調查表(表一)'!$E$7:$AA$112,11,FALSE)</f>
        <v>7440</v>
      </c>
      <c r="F60" s="6">
        <f>VLOOKUP(B60,'[1]附件六-費用調查表(表一)'!$E$7:$AA$112,13,FALSE)</f>
        <v>3400</v>
      </c>
      <c r="G60" s="6">
        <f>VLOOKUP(B60,'[1]附件六-費用調查表(表一)'!$E$7:$AA$112,14,FALSE)</f>
        <v>0</v>
      </c>
      <c r="H60" s="6">
        <f>VLOOKUP(B60,'[1]附件六-費用調查表(表一)'!$E$7:$AA$112,15,FALSE)</f>
        <v>0</v>
      </c>
      <c r="I60" s="7">
        <f t="shared" si="6"/>
        <v>112200</v>
      </c>
      <c r="J60" s="8">
        <f>VLOOKUP(B60,'[1]附件六-費用調查表(表一)'!$E$7:$AA$111,17,FALSE)</f>
        <v>0</v>
      </c>
      <c r="K60" s="9"/>
      <c r="L60" s="10">
        <v>0</v>
      </c>
      <c r="M60" s="11">
        <f>VLOOKUP('107學年度第2學期經費核定表'!B60,'[1]附件六-費用調查表(表一)'!$E$7:$AA$111,21,FALSE)</f>
        <v>24616</v>
      </c>
      <c r="N60" s="12">
        <f>VLOOKUP(B60,'[1]附件六-費用調查表(表一)'!$E$7:$AA$111,18,FALSE)</f>
        <v>0</v>
      </c>
      <c r="O60" s="12">
        <f>VLOOKUP(B60,'[1]附件六-費用調查表(表一)'!$E$7:$AA$111,22,FALSE)</f>
        <v>32058</v>
      </c>
      <c r="P60" s="12">
        <f>48085+1</f>
        <v>48086</v>
      </c>
      <c r="Q60" s="13">
        <v>540</v>
      </c>
      <c r="R60" s="13">
        <f t="shared" si="2"/>
        <v>7440</v>
      </c>
      <c r="S60" s="36">
        <f t="shared" si="3"/>
        <v>112740</v>
      </c>
      <c r="T60" s="14">
        <f t="shared" si="7"/>
        <v>0</v>
      </c>
      <c r="U60" s="14">
        <f t="shared" si="4"/>
        <v>112740</v>
      </c>
    </row>
    <row r="61" spans="1:21" s="15" customFormat="1" ht="27.9" customHeight="1">
      <c r="A61" s="4">
        <v>57</v>
      </c>
      <c r="B61" s="5" t="s">
        <v>79</v>
      </c>
      <c r="C61" s="6">
        <f>VLOOKUP(B61,'[1]附件六-費用調查表(表一)'!$E$7:$AA$112,9,FALSE)</f>
        <v>56160</v>
      </c>
      <c r="D61" s="6">
        <f>VLOOKUP(B61,'[1]附件六-費用調查表(表一)'!$E$7:$AA$112,10,FALSE)</f>
        <v>0</v>
      </c>
      <c r="E61" s="6">
        <f>VLOOKUP(B61,'[1]附件六-費用調查表(表一)'!$E$7:$AA$112,11,FALSE)</f>
        <v>12960</v>
      </c>
      <c r="F61" s="6">
        <f>VLOOKUP(B61,'[1]附件六-費用調查表(表一)'!$E$7:$AA$112,13,FALSE)</f>
        <v>2160</v>
      </c>
      <c r="G61" s="6">
        <f>VLOOKUP(B61,'[1]附件六-費用調查表(表一)'!$E$7:$AA$112,14,FALSE)</f>
        <v>0</v>
      </c>
      <c r="H61" s="6">
        <f>VLOOKUP(B61,'[1]附件六-費用調查表(表一)'!$E$7:$AA$112,15,FALSE)</f>
        <v>0</v>
      </c>
      <c r="I61" s="7">
        <f t="shared" si="6"/>
        <v>71280</v>
      </c>
      <c r="J61" s="8">
        <f>VLOOKUP(B61,'[1]附件六-費用調查表(表一)'!$E$7:$AA$111,17,FALSE)</f>
        <v>0</v>
      </c>
      <c r="K61" s="9"/>
      <c r="L61" s="10">
        <v>0</v>
      </c>
      <c r="M61" s="11">
        <f>VLOOKUP('107學年度第2學期經費核定表'!B61,'[1]附件六-費用調查表(表一)'!$E$7:$AA$111,21,FALSE)</f>
        <v>22721</v>
      </c>
      <c r="N61" s="12">
        <f>VLOOKUP(B61,'[1]附件六-費用調查表(表一)'!$E$7:$AA$111,18,FALSE)</f>
        <v>0</v>
      </c>
      <c r="O61" s="12">
        <f>VLOOKUP(B61,'[1]附件六-費用調查表(表一)'!$E$7:$AA$111,22,FALSE)</f>
        <v>14239</v>
      </c>
      <c r="P61" s="12">
        <f>21358+2</f>
        <v>21360</v>
      </c>
      <c r="Q61" s="13">
        <v>1080</v>
      </c>
      <c r="R61" s="13">
        <f t="shared" si="2"/>
        <v>12960</v>
      </c>
      <c r="S61" s="36">
        <f t="shared" si="3"/>
        <v>72360</v>
      </c>
      <c r="T61" s="14">
        <f t="shared" si="7"/>
        <v>0</v>
      </c>
      <c r="U61" s="14">
        <f t="shared" si="4"/>
        <v>72360</v>
      </c>
    </row>
    <row r="62" spans="1:21" s="15" customFormat="1" ht="27.9" customHeight="1">
      <c r="A62" s="4">
        <v>58</v>
      </c>
      <c r="B62" s="5" t="s">
        <v>80</v>
      </c>
      <c r="C62" s="6">
        <f>VLOOKUP(B62,'[1]附件六-費用調查表(表一)'!$E$7:$AA$112,9,FALSE)</f>
        <v>14040</v>
      </c>
      <c r="D62" s="6">
        <f>VLOOKUP(B62,'[1]附件六-費用調查表(表一)'!$E$7:$AA$112,10,FALSE)</f>
        <v>51840</v>
      </c>
      <c r="E62" s="6">
        <f>VLOOKUP(B62,'[1]附件六-費用調查表(表一)'!$E$7:$AA$112,11,FALSE)</f>
        <v>3240</v>
      </c>
      <c r="F62" s="6">
        <f>VLOOKUP(B62,'[1]附件六-費用調查表(表一)'!$E$7:$AA$112,13,FALSE)</f>
        <v>2160</v>
      </c>
      <c r="G62" s="6">
        <f>VLOOKUP(B62,'[1]附件六-費用調查表(表一)'!$E$7:$AA$112,14,FALSE)</f>
        <v>0</v>
      </c>
      <c r="H62" s="6">
        <f>VLOOKUP(B62,'[1]附件六-費用調查表(表一)'!$E$7:$AA$112,15,FALSE)</f>
        <v>0</v>
      </c>
      <c r="I62" s="7">
        <f t="shared" si="6"/>
        <v>71280</v>
      </c>
      <c r="J62" s="8">
        <f>VLOOKUP(B62,'[1]附件六-費用調查表(表一)'!$E$7:$AA$111,17,FALSE)</f>
        <v>3090</v>
      </c>
      <c r="K62" s="9"/>
      <c r="L62" s="10">
        <v>0</v>
      </c>
      <c r="M62" s="11">
        <f>VLOOKUP('107學年度第2學期經費核定表'!B62,'[1]附件六-費用調查表(表一)'!$E$7:$AA$111,21,FALSE)</f>
        <v>11361</v>
      </c>
      <c r="N62" s="12">
        <f>VLOOKUP(B62,'[1]附件六-費用調查表(表一)'!$E$7:$AA$111,18,FALSE)</f>
        <v>0</v>
      </c>
      <c r="O62" s="12">
        <f>VLOOKUP(B62,'[1]附件六-費用調查表(表一)'!$E$7:$AA$111,22,FALSE)</f>
        <v>22670</v>
      </c>
      <c r="P62" s="12">
        <f>34003+6</f>
        <v>34009</v>
      </c>
      <c r="Q62" s="13"/>
      <c r="R62" s="13">
        <f t="shared" si="2"/>
        <v>3240</v>
      </c>
      <c r="S62" s="36">
        <f t="shared" si="3"/>
        <v>68190</v>
      </c>
      <c r="T62" s="14">
        <f t="shared" si="7"/>
        <v>0</v>
      </c>
      <c r="U62" s="14">
        <f t="shared" si="4"/>
        <v>68190</v>
      </c>
    </row>
    <row r="63" spans="1:21" s="15" customFormat="1" ht="27.9" customHeight="1">
      <c r="A63" s="4">
        <v>59</v>
      </c>
      <c r="B63" s="5" t="s">
        <v>81</v>
      </c>
      <c r="C63" s="6">
        <f>VLOOKUP(B63,'[1]附件六-費用調查表(表一)'!$E$7:$AA$112,9,FALSE)</f>
        <v>19500</v>
      </c>
      <c r="D63" s="6">
        <f>VLOOKUP(B63,'[1]附件六-費用調查表(表一)'!$E$7:$AA$112,10,FALSE)</f>
        <v>19200</v>
      </c>
      <c r="E63" s="6">
        <f>VLOOKUP(B63,'[1]附件六-費用調查表(表一)'!$E$7:$AA$112,11,FALSE)</f>
        <v>4500</v>
      </c>
      <c r="F63" s="6">
        <f>VLOOKUP(B63,'[1]附件六-費用調查表(表一)'!$E$7:$AA$112,13,FALSE)</f>
        <v>1350</v>
      </c>
      <c r="G63" s="6">
        <f>VLOOKUP(B63,'[1]附件六-費用調查表(表一)'!$E$7:$AA$112,14,FALSE)</f>
        <v>0</v>
      </c>
      <c r="H63" s="6">
        <f>VLOOKUP(B63,'[1]附件六-費用調查表(表一)'!$E$7:$AA$112,15,FALSE)</f>
        <v>0</v>
      </c>
      <c r="I63" s="7">
        <f t="shared" si="6"/>
        <v>44550</v>
      </c>
      <c r="J63" s="8">
        <f>VLOOKUP(B63,'[1]附件六-費用調查表(表一)'!$E$7:$AA$111,17,FALSE)</f>
        <v>0</v>
      </c>
      <c r="K63" s="9"/>
      <c r="L63" s="10">
        <v>6828</v>
      </c>
      <c r="M63" s="11">
        <f>VLOOKUP('107學年度第2學期經費核定表'!B63,'[1]附件六-費用調查表(表一)'!$E$7:$AA$111,21,FALSE)</f>
        <v>9610</v>
      </c>
      <c r="N63" s="12">
        <f>VLOOKUP(B63,'[1]附件六-費用調查表(表一)'!$E$7:$AA$111,18,FALSE)</f>
        <v>0</v>
      </c>
      <c r="O63" s="12">
        <f>VLOOKUP(B63,'[1]附件六-費用調查表(表一)'!$E$7:$AA$111,22,FALSE)</f>
        <v>9445</v>
      </c>
      <c r="P63" s="12">
        <f>14166+1</f>
        <v>14167</v>
      </c>
      <c r="Q63" s="13"/>
      <c r="R63" s="13">
        <f t="shared" si="2"/>
        <v>4500</v>
      </c>
      <c r="S63" s="36">
        <f t="shared" si="3"/>
        <v>44550</v>
      </c>
      <c r="T63" s="14">
        <f t="shared" si="7"/>
        <v>0</v>
      </c>
      <c r="U63" s="14">
        <f t="shared" si="4"/>
        <v>44550</v>
      </c>
    </row>
    <row r="64" spans="1:21" s="15" customFormat="1" ht="27.9" customHeight="1">
      <c r="A64" s="4">
        <v>60</v>
      </c>
      <c r="B64" s="5" t="s">
        <v>82</v>
      </c>
      <c r="C64" s="6">
        <f>VLOOKUP(B64,'[1]附件六-費用調查表(表一)'!$E$7:$AA$112,9,FALSE)</f>
        <v>24960</v>
      </c>
      <c r="D64" s="6">
        <f>VLOOKUP(B64,'[1]附件六-費用調查表(表一)'!$E$7:$AA$112,10,FALSE)</f>
        <v>51200</v>
      </c>
      <c r="E64" s="6">
        <f>VLOOKUP(B64,'[1]附件六-費用調查表(表一)'!$E$7:$AA$112,11,FALSE)</f>
        <v>5760</v>
      </c>
      <c r="F64" s="6">
        <f>VLOOKUP(B64,'[1]附件六-費用調查表(表一)'!$E$7:$AA$112,13,FALSE)</f>
        <v>2560</v>
      </c>
      <c r="G64" s="6">
        <f>VLOOKUP(B64,'[1]附件六-費用調查表(表一)'!$E$7:$AA$112,14,FALSE)</f>
        <v>0</v>
      </c>
      <c r="H64" s="6">
        <f>VLOOKUP(B64,'[1]附件六-費用調查表(表一)'!$E$7:$AA$112,15,FALSE)</f>
        <v>0</v>
      </c>
      <c r="I64" s="7">
        <f t="shared" si="6"/>
        <v>84480</v>
      </c>
      <c r="J64" s="8">
        <f>VLOOKUP(B64,'[1]附件六-費用調查表(表一)'!$E$7:$AA$111,17,FALSE)</f>
        <v>3360</v>
      </c>
      <c r="K64" s="9"/>
      <c r="L64" s="10">
        <v>67918</v>
      </c>
      <c r="M64" s="11">
        <f>VLOOKUP('107學年度第2學期經費核定表'!B64,'[1]附件六-費用調查表(表一)'!$E$7:$AA$111,21,FALSE)</f>
        <v>0</v>
      </c>
      <c r="N64" s="12">
        <f>VLOOKUP(B64,'[1]附件六-費用調查表(表一)'!$E$7:$AA$111,18,FALSE)</f>
        <v>0</v>
      </c>
      <c r="O64" s="12">
        <f>VLOOKUP(B64,'[1]附件六-費用調查表(表一)'!$E$7:$AA$111,22,FALSE)</f>
        <v>4320</v>
      </c>
      <c r="P64" s="12">
        <f>6479+3</f>
        <v>6482</v>
      </c>
      <c r="Q64" s="13"/>
      <c r="R64" s="13">
        <f t="shared" si="2"/>
        <v>5760</v>
      </c>
      <c r="S64" s="36">
        <f t="shared" si="3"/>
        <v>81120</v>
      </c>
      <c r="T64" s="14">
        <f t="shared" si="7"/>
        <v>0</v>
      </c>
      <c r="U64" s="14">
        <f t="shared" si="4"/>
        <v>81120</v>
      </c>
    </row>
    <row r="65" spans="1:21" s="15" customFormat="1" ht="27.9" customHeight="1">
      <c r="A65" s="4">
        <v>61</v>
      </c>
      <c r="B65" s="5" t="s">
        <v>83</v>
      </c>
      <c r="C65" s="6">
        <f>VLOOKUP(B65,'[1]附件六-費用調查表(表一)'!$E$7:$AA$112,9,FALSE)</f>
        <v>42120</v>
      </c>
      <c r="D65" s="6">
        <f>VLOOKUP(B65,'[1]附件六-費用調查表(表一)'!$E$7:$AA$112,10,FALSE)</f>
        <v>17280</v>
      </c>
      <c r="E65" s="6">
        <f>VLOOKUP(B65,'[1]附件六-費用調查表(表一)'!$E$7:$AA$112,11,FALSE)</f>
        <v>9720</v>
      </c>
      <c r="F65" s="6">
        <f>VLOOKUP(B65,'[1]附件六-費用調查表(表一)'!$E$7:$AA$112,13,FALSE)</f>
        <v>2160</v>
      </c>
      <c r="G65" s="6">
        <f>VLOOKUP(B65,'[1]附件六-費用調查表(表一)'!$E$7:$AA$112,14,FALSE)</f>
        <v>2500</v>
      </c>
      <c r="H65" s="6">
        <f>VLOOKUP(B65,'[1]附件六-費用調查表(表一)'!$E$7:$AA$112,15,FALSE)</f>
        <v>2000</v>
      </c>
      <c r="I65" s="7">
        <f t="shared" si="6"/>
        <v>75780</v>
      </c>
      <c r="J65" s="8">
        <f>VLOOKUP(B65,'[1]附件六-費用調查表(表一)'!$E$7:$AA$111,17,FALSE)</f>
        <v>216</v>
      </c>
      <c r="K65" s="9"/>
      <c r="L65" s="10">
        <v>0</v>
      </c>
      <c r="M65" s="11">
        <f>VLOOKUP('107學年度第2學期經費核定表'!B65,'[1]附件六-費用調查表(表一)'!$E$7:$AA$111,21,FALSE)</f>
        <v>51826</v>
      </c>
      <c r="N65" s="12">
        <f>VLOOKUP(B65,'[1]附件六-費用調查表(表一)'!$E$7:$AA$111,18,FALSE)</f>
        <v>0</v>
      </c>
      <c r="O65" s="12">
        <f>VLOOKUP(B65,'[1]附件六-費用調查表(表一)'!$E$7:$AA$111,22,FALSE)</f>
        <v>5694</v>
      </c>
      <c r="P65" s="12">
        <f>8539+1</f>
        <v>8540</v>
      </c>
      <c r="Q65" s="13">
        <v>444</v>
      </c>
      <c r="R65" s="13">
        <f t="shared" si="2"/>
        <v>9720</v>
      </c>
      <c r="S65" s="36">
        <f t="shared" si="3"/>
        <v>76008</v>
      </c>
      <c r="T65" s="14">
        <f t="shared" si="7"/>
        <v>0</v>
      </c>
      <c r="U65" s="14">
        <f t="shared" si="4"/>
        <v>76008</v>
      </c>
    </row>
    <row r="66" spans="1:21" s="15" customFormat="1" ht="27.9" customHeight="1">
      <c r="A66" s="4">
        <v>62</v>
      </c>
      <c r="B66" s="5" t="s">
        <v>84</v>
      </c>
      <c r="C66" s="6">
        <f>VLOOKUP(B66,'[1]附件六-費用調查表(表一)'!$E$7:$AA$112,9,FALSE)</f>
        <v>28080</v>
      </c>
      <c r="D66" s="6">
        <f>VLOOKUP(B66,'[1]附件六-費用調查表(表一)'!$E$7:$AA$112,10,FALSE)</f>
        <v>17280</v>
      </c>
      <c r="E66" s="6">
        <f>VLOOKUP(B66,'[1]附件六-費用調查表(表一)'!$E$7:$AA$112,11,FALSE)</f>
        <v>6480</v>
      </c>
      <c r="F66" s="6">
        <f>VLOOKUP(B66,'[1]附件六-費用調查表(表一)'!$E$7:$AA$112,13,FALSE)</f>
        <v>1620</v>
      </c>
      <c r="G66" s="6">
        <f>VLOOKUP(B66,'[1]附件六-費用調查表(表一)'!$E$7:$AA$112,14,FALSE)</f>
        <v>0</v>
      </c>
      <c r="H66" s="6">
        <f>VLOOKUP(B66,'[1]附件六-費用調查表(表一)'!$E$7:$AA$112,15,FALSE)</f>
        <v>0</v>
      </c>
      <c r="I66" s="7">
        <f t="shared" si="6"/>
        <v>53460</v>
      </c>
      <c r="J66" s="8">
        <f>VLOOKUP(B66,'[1]附件六-費用調查表(表一)'!$E$7:$AA$111,17,FALSE)</f>
        <v>0</v>
      </c>
      <c r="K66" s="9"/>
      <c r="L66" s="10">
        <v>0</v>
      </c>
      <c r="M66" s="11">
        <f>VLOOKUP('107學年度第2學期經費核定表'!B66,'[1]附件六-費用調查表(表一)'!$E$7:$AA$111,21,FALSE)</f>
        <v>11128</v>
      </c>
      <c r="N66" s="12">
        <f>VLOOKUP(B66,'[1]附件六-費用調查表(表一)'!$E$7:$AA$111,18,FALSE)</f>
        <v>0</v>
      </c>
      <c r="O66" s="12">
        <f>VLOOKUP(B66,'[1]附件六-費用調查表(表一)'!$E$7:$AA$111,22,FALSE)</f>
        <v>14340</v>
      </c>
      <c r="P66" s="12">
        <f>21509+3</f>
        <v>21512</v>
      </c>
      <c r="Q66" s="13">
        <v>360</v>
      </c>
      <c r="R66" s="13">
        <f t="shared" si="2"/>
        <v>6480</v>
      </c>
      <c r="S66" s="36">
        <f t="shared" si="3"/>
        <v>53820</v>
      </c>
      <c r="T66" s="14">
        <f t="shared" si="7"/>
        <v>0</v>
      </c>
      <c r="U66" s="14">
        <f t="shared" si="4"/>
        <v>53820</v>
      </c>
    </row>
    <row r="67" spans="1:21" s="15" customFormat="1" ht="27.9" customHeight="1">
      <c r="A67" s="4">
        <v>63</v>
      </c>
      <c r="B67" s="5" t="s">
        <v>85</v>
      </c>
      <c r="C67" s="6">
        <f>VLOOKUP(B67,'[1]附件六-費用調查表(表一)'!$E$7:$AA$112,9,FALSE)</f>
        <v>9360</v>
      </c>
      <c r="D67" s="6">
        <f>VLOOKUP(B67,'[1]附件六-費用調查表(表一)'!$E$7:$AA$112,10,FALSE)</f>
        <v>23040</v>
      </c>
      <c r="E67" s="6">
        <f>VLOOKUP(B67,'[1]附件六-費用調查表(表一)'!$E$7:$AA$112,11,FALSE)</f>
        <v>2160</v>
      </c>
      <c r="F67" s="6">
        <f>VLOOKUP(B67,'[1]附件六-費用調查表(表一)'!$E$7:$AA$112,13,FALSE)</f>
        <v>1080</v>
      </c>
      <c r="G67" s="6">
        <f>VLOOKUP(B67,'[1]附件六-費用調查表(表一)'!$E$7:$AA$112,14,FALSE)</f>
        <v>0</v>
      </c>
      <c r="H67" s="6">
        <f>VLOOKUP(B67,'[1]附件六-費用調查表(表一)'!$E$7:$AA$112,15,FALSE)</f>
        <v>0</v>
      </c>
      <c r="I67" s="7">
        <f t="shared" si="6"/>
        <v>35640</v>
      </c>
      <c r="J67" s="8">
        <f>VLOOKUP(B67,'[1]附件六-費用調查表(表一)'!$E$7:$AA$111,17,FALSE)</f>
        <v>0</v>
      </c>
      <c r="K67" s="9"/>
      <c r="L67" s="10">
        <v>17293</v>
      </c>
      <c r="M67" s="11">
        <f>VLOOKUP('107學年度第2學期經費核定表'!B67,'[1]附件六-費用調查表(表一)'!$E$7:$AA$111,21,FALSE)</f>
        <v>12400</v>
      </c>
      <c r="N67" s="12">
        <f>VLOOKUP(B67,'[1]附件六-費用調查表(表一)'!$E$7:$AA$111,18,FALSE)</f>
        <v>0</v>
      </c>
      <c r="O67" s="12">
        <f>VLOOKUP(B67,'[1]附件六-費用調查表(表一)'!$E$7:$AA$111,22,FALSE)</f>
        <v>1514</v>
      </c>
      <c r="P67" s="12">
        <f>2270+3</f>
        <v>2273</v>
      </c>
      <c r="Q67" s="13">
        <v>120</v>
      </c>
      <c r="R67" s="13">
        <f t="shared" si="2"/>
        <v>2160</v>
      </c>
      <c r="S67" s="36">
        <f t="shared" si="3"/>
        <v>35760</v>
      </c>
      <c r="T67" s="14">
        <f t="shared" si="7"/>
        <v>0</v>
      </c>
      <c r="U67" s="14">
        <f t="shared" si="4"/>
        <v>35760</v>
      </c>
    </row>
    <row r="68" spans="1:21" s="15" customFormat="1" ht="27.9" customHeight="1">
      <c r="A68" s="4">
        <v>64</v>
      </c>
      <c r="B68" s="5" t="s">
        <v>86</v>
      </c>
      <c r="C68" s="6">
        <f>VLOOKUP(B68,'[1]附件六-費用調查表(表一)'!$E$7:$AA$112,9,FALSE)</f>
        <v>37440</v>
      </c>
      <c r="D68" s="6">
        <f>VLOOKUP(B68,'[1]附件六-費用調查表(表一)'!$E$7:$AA$112,10,FALSE)</f>
        <v>46080</v>
      </c>
      <c r="E68" s="6">
        <f>VLOOKUP(B68,'[1]附件六-費用調查表(表一)'!$E$7:$AA$112,11,FALSE)</f>
        <v>8640</v>
      </c>
      <c r="F68" s="6">
        <f>VLOOKUP(B68,'[1]附件六-費用調查表(表一)'!$E$7:$AA$112,13,FALSE)</f>
        <v>2880</v>
      </c>
      <c r="G68" s="6">
        <f>VLOOKUP(B68,'[1]附件六-費用調查表(表一)'!$E$7:$AA$112,14,FALSE)</f>
        <v>900</v>
      </c>
      <c r="H68" s="6">
        <f>VLOOKUP(B68,'[1]附件六-費用調查表(表一)'!$E$7:$AA$112,15,FALSE)</f>
        <v>700</v>
      </c>
      <c r="I68" s="7">
        <f t="shared" si="6"/>
        <v>96640</v>
      </c>
      <c r="J68" s="8">
        <f>VLOOKUP(B68,'[1]附件六-費用調查表(表一)'!$E$7:$AA$111,17,FALSE)</f>
        <v>2950</v>
      </c>
      <c r="K68" s="9"/>
      <c r="L68" s="10">
        <v>0</v>
      </c>
      <c r="M68" s="11">
        <f>VLOOKUP('107學年度第2學期經費核定表'!B68,'[1]附件六-費用調查表(表一)'!$E$7:$AA$111,21,FALSE)</f>
        <v>40546</v>
      </c>
      <c r="N68" s="12">
        <f>VLOOKUP(B68,'[1]附件六-費用調查表(表一)'!$E$7:$AA$111,18,FALSE)</f>
        <v>0</v>
      </c>
      <c r="O68" s="12">
        <f>VLOOKUP(B68,'[1]附件六-費用調查表(表一)'!$E$7:$AA$111,22,FALSE)</f>
        <v>18982</v>
      </c>
      <c r="P68" s="12">
        <f>VLOOKUP(B68,'[1]附件六-費用調查表(表一)'!$E$7:$AA$111,23,FALSE)</f>
        <v>28472</v>
      </c>
      <c r="Q68" s="13">
        <v>0</v>
      </c>
      <c r="R68" s="13">
        <f t="shared" si="2"/>
        <v>8640</v>
      </c>
      <c r="S68" s="36">
        <f t="shared" si="3"/>
        <v>93690</v>
      </c>
      <c r="T68" s="14">
        <f t="shared" si="7"/>
        <v>0</v>
      </c>
      <c r="U68" s="14">
        <f t="shared" si="4"/>
        <v>93690</v>
      </c>
    </row>
    <row r="69" spans="1:21" s="15" customFormat="1" ht="27.9" customHeight="1">
      <c r="A69" s="4">
        <v>65</v>
      </c>
      <c r="B69" s="5" t="s">
        <v>87</v>
      </c>
      <c r="C69" s="6">
        <f>VLOOKUP(B69,'[1]附件六-費用調查表(表一)'!$E$7:$AA$112,9,FALSE)</f>
        <v>40040</v>
      </c>
      <c r="D69" s="6">
        <f>VLOOKUP(B69,'[1]附件六-費用調查表(表一)'!$E$7:$AA$112,10,FALSE)</f>
        <v>16320</v>
      </c>
      <c r="E69" s="6">
        <f>VLOOKUP(B69,'[1]附件六-費用調查表(表一)'!$E$7:$AA$112,11,FALSE)</f>
        <v>9240</v>
      </c>
      <c r="F69" s="6">
        <f>VLOOKUP(B69,'[1]附件六-費用調查表(表一)'!$E$7:$AA$112,13,FALSE)</f>
        <v>2050</v>
      </c>
      <c r="G69" s="6">
        <f>VLOOKUP(B69,'[1]附件六-費用調查表(表一)'!$E$7:$AA$112,14,FALSE)</f>
        <v>0</v>
      </c>
      <c r="H69" s="6">
        <f>VLOOKUP(B69,'[1]附件六-費用調查表(表一)'!$E$7:$AA$112,15,FALSE)</f>
        <v>0</v>
      </c>
      <c r="I69" s="7">
        <f t="shared" ref="I69:I100" si="8">SUM(C69:H69)</f>
        <v>67650</v>
      </c>
      <c r="J69" s="8">
        <f>VLOOKUP(B69,'[1]附件六-費用調查表(表一)'!$E$7:$AA$111,17,FALSE)</f>
        <v>0</v>
      </c>
      <c r="K69" s="9"/>
      <c r="L69" s="10">
        <v>0</v>
      </c>
      <c r="M69" s="11">
        <f>VLOOKUP('107學年度第2學期經費核定表'!B69,'[1]附件六-費用調查表(表一)'!$E$7:$AA$111,21,FALSE)</f>
        <v>12423</v>
      </c>
      <c r="N69" s="12">
        <f>VLOOKUP(B69,'[1]附件六-費用調查表(表一)'!$E$7:$AA$111,18,FALSE)</f>
        <v>0</v>
      </c>
      <c r="O69" s="12">
        <f>VLOOKUP(B69,'[1]附件六-費用調查表(表一)'!$E$7:$AA$111,22,FALSE)</f>
        <v>18395</v>
      </c>
      <c r="P69" s="12">
        <f>27591+1</f>
        <v>27592</v>
      </c>
      <c r="Q69" s="13">
        <v>240</v>
      </c>
      <c r="R69" s="13">
        <f t="shared" si="2"/>
        <v>9240</v>
      </c>
      <c r="S69" s="36">
        <f t="shared" si="3"/>
        <v>67890</v>
      </c>
      <c r="T69" s="14">
        <f t="shared" si="7"/>
        <v>0</v>
      </c>
      <c r="U69" s="14">
        <f t="shared" si="4"/>
        <v>67890</v>
      </c>
    </row>
    <row r="70" spans="1:21" s="15" customFormat="1" ht="27.9" customHeight="1">
      <c r="A70" s="4">
        <v>66</v>
      </c>
      <c r="B70" s="5" t="s">
        <v>88</v>
      </c>
      <c r="C70" s="6">
        <f>VLOOKUP(B70,'[1]附件六-費用調查表(表一)'!$E$7:$AA$112,9,FALSE)</f>
        <v>45760</v>
      </c>
      <c r="D70" s="6">
        <f>VLOOKUP(B70,'[1]附件六-費用調查表(表一)'!$E$7:$AA$112,10,FALSE)</f>
        <v>20480</v>
      </c>
      <c r="E70" s="6">
        <f>VLOOKUP(B70,'[1]附件六-費用調查表(表一)'!$E$7:$AA$112,11,FALSE)</f>
        <v>10560</v>
      </c>
      <c r="F70" s="6">
        <f>VLOOKUP(B70,'[1]附件六-費用調查表(表一)'!$E$7:$AA$112,13,FALSE)</f>
        <v>2400</v>
      </c>
      <c r="G70" s="6">
        <f>VLOOKUP(B70,'[1]附件六-費用調查表(表一)'!$E$7:$AA$112,14,FALSE)</f>
        <v>0</v>
      </c>
      <c r="H70" s="6">
        <f>VLOOKUP(B70,'[1]附件六-費用調查表(表一)'!$E$7:$AA$112,15,FALSE)</f>
        <v>0</v>
      </c>
      <c r="I70" s="7">
        <f t="shared" si="8"/>
        <v>79200</v>
      </c>
      <c r="J70" s="8">
        <f>VLOOKUP(B70,'[1]附件六-費用調查表(表一)'!$E$7:$AA$111,17,FALSE)</f>
        <v>0</v>
      </c>
      <c r="K70" s="9"/>
      <c r="L70" s="10">
        <v>0</v>
      </c>
      <c r="M70" s="11">
        <f>VLOOKUP('107學年度第2學期經費核定表'!B70,'[1]附件六-費用調查表(表一)'!$E$7:$AA$111,21,FALSE)</f>
        <v>13674</v>
      </c>
      <c r="N70" s="12">
        <f>VLOOKUP(B70,'[1]附件六-費用調查表(表一)'!$E$7:$AA$111,18,FALSE)</f>
        <v>0</v>
      </c>
      <c r="O70" s="12">
        <f>VLOOKUP(B70,'[1]附件六-費用調查表(表一)'!$E$7:$AA$111,22,FALSE)</f>
        <v>21987</v>
      </c>
      <c r="P70" s="12">
        <f>VLOOKUP(B70,'[1]附件六-費用調查表(表一)'!$E$7:$AA$111,23,FALSE)</f>
        <v>32979</v>
      </c>
      <c r="Q70" s="13">
        <v>480</v>
      </c>
      <c r="R70" s="13">
        <f t="shared" ref="R70:R102" si="9">E70</f>
        <v>10560</v>
      </c>
      <c r="S70" s="36">
        <f t="shared" ref="S70:S102" si="10">L70+M70+O70+P70+Q70+R70-J70</f>
        <v>79680</v>
      </c>
      <c r="T70" s="14">
        <f t="shared" si="7"/>
        <v>0</v>
      </c>
      <c r="U70" s="14">
        <f t="shared" ref="U70:U102" si="11">S70+T70</f>
        <v>79680</v>
      </c>
    </row>
    <row r="71" spans="1:21" s="15" customFormat="1" ht="27.9" customHeight="1">
      <c r="A71" s="4">
        <v>67</v>
      </c>
      <c r="B71" s="5" t="s">
        <v>89</v>
      </c>
      <c r="C71" s="6">
        <f>VLOOKUP(B71,'[1]附件六-費用調查表(表一)'!$E$7:$AA$112,9,FALSE)</f>
        <v>61880</v>
      </c>
      <c r="D71" s="6">
        <f>VLOOKUP(B71,'[1]附件六-費用調查表(表一)'!$E$7:$AA$112,10,FALSE)</f>
        <v>38080</v>
      </c>
      <c r="E71" s="6">
        <f>VLOOKUP(B71,'[1]附件六-費用調查表(表一)'!$E$7:$AA$112,11,FALSE)</f>
        <v>14280</v>
      </c>
      <c r="F71" s="6">
        <f>VLOOKUP(B71,'[1]附件六-費用調查表(表一)'!$E$7:$AA$112,13,FALSE)</f>
        <v>3570</v>
      </c>
      <c r="G71" s="6">
        <f>VLOOKUP(B71,'[1]附件六-費用調查表(表一)'!$E$7:$AA$112,14,FALSE)</f>
        <v>0</v>
      </c>
      <c r="H71" s="6">
        <f>VLOOKUP(B71,'[1]附件六-費用調查表(表一)'!$E$7:$AA$112,15,FALSE)</f>
        <v>0</v>
      </c>
      <c r="I71" s="7">
        <f t="shared" si="8"/>
        <v>117810</v>
      </c>
      <c r="J71" s="8">
        <f>VLOOKUP(B71,'[1]附件六-費用調查表(表一)'!$E$7:$AA$111,17,FALSE)</f>
        <v>0</v>
      </c>
      <c r="K71" s="9"/>
      <c r="L71" s="10">
        <v>0</v>
      </c>
      <c r="M71" s="11">
        <f>VLOOKUP('107學年度第2學期經費核定表'!B71,'[1]附件六-費用調查表(表一)'!$E$7:$AA$111,21,FALSE)</f>
        <v>0</v>
      </c>
      <c r="N71" s="12">
        <f>VLOOKUP(B71,'[1]附件六-費用調查表(表一)'!$E$7:$AA$111,18,FALSE)</f>
        <v>0</v>
      </c>
      <c r="O71" s="12">
        <f>VLOOKUP(B71,'[1]附件六-費用調查表(表一)'!$E$7:$AA$111,22,FALSE)</f>
        <v>41412</v>
      </c>
      <c r="P71" s="12">
        <f>VLOOKUP(B71,'[1]附件六-費用調查表(表一)'!$E$7:$AA$111,23,FALSE)</f>
        <v>62118</v>
      </c>
      <c r="Q71" s="13">
        <v>360</v>
      </c>
      <c r="R71" s="13">
        <f t="shared" si="9"/>
        <v>14280</v>
      </c>
      <c r="S71" s="36">
        <f t="shared" si="10"/>
        <v>118170</v>
      </c>
      <c r="T71" s="14">
        <f t="shared" si="7"/>
        <v>0</v>
      </c>
      <c r="U71" s="14">
        <f t="shared" si="11"/>
        <v>118170</v>
      </c>
    </row>
    <row r="72" spans="1:21" s="15" customFormat="1" ht="27.9" customHeight="1">
      <c r="A72" s="4">
        <v>68</v>
      </c>
      <c r="B72" s="5" t="s">
        <v>90</v>
      </c>
      <c r="C72" s="6">
        <f>VLOOKUP(B72,'[1]附件六-費用調查表(表一)'!$E$7:$AA$112,9,FALSE)</f>
        <v>30940</v>
      </c>
      <c r="D72" s="6">
        <f>VLOOKUP(B72,'[1]附件六-費用調查表(表一)'!$E$7:$AA$112,10,FALSE)</f>
        <v>43520</v>
      </c>
      <c r="E72" s="6">
        <f>VLOOKUP(B72,'[1]附件六-費用調查表(表一)'!$E$7:$AA$112,11,FALSE)</f>
        <v>7140</v>
      </c>
      <c r="F72" s="6">
        <f>VLOOKUP(B72,'[1]附件六-費用調查表(表一)'!$E$7:$AA$112,13,FALSE)</f>
        <v>2550</v>
      </c>
      <c r="G72" s="6">
        <f>VLOOKUP(B72,'[1]附件六-費用調查表(表一)'!$E$7:$AA$112,14,FALSE)</f>
        <v>0</v>
      </c>
      <c r="H72" s="6">
        <f>VLOOKUP(B72,'[1]附件六-費用調查表(表一)'!$E$7:$AA$112,15,FALSE)</f>
        <v>0</v>
      </c>
      <c r="I72" s="7">
        <f t="shared" si="8"/>
        <v>84150</v>
      </c>
      <c r="J72" s="8">
        <f>VLOOKUP(B72,'[1]附件六-費用調查表(表一)'!$E$7:$AA$111,17,FALSE)</f>
        <v>1800</v>
      </c>
      <c r="K72" s="9"/>
      <c r="L72" s="10">
        <v>0</v>
      </c>
      <c r="M72" s="11">
        <f>VLOOKUP('107學年度第2學期經費核定表'!B72,'[1]附件六-費用調查表(表一)'!$E$7:$AA$111,21,FALSE)</f>
        <v>0</v>
      </c>
      <c r="N72" s="12">
        <f>VLOOKUP(B72,'[1]附件六-費用調查表(表一)'!$E$7:$AA$111,18,FALSE)</f>
        <v>0</v>
      </c>
      <c r="O72" s="12">
        <f>VLOOKUP(B72,'[1]附件六-費用調查表(表一)'!$E$7:$AA$111,22,FALSE)</f>
        <v>30804</v>
      </c>
      <c r="P72" s="12">
        <f>VLOOKUP(B72,'[1]附件六-費用調查表(表一)'!$E$7:$AA$111,23,FALSE)</f>
        <v>46206</v>
      </c>
      <c r="Q72" s="13">
        <v>0</v>
      </c>
      <c r="R72" s="13">
        <f t="shared" si="9"/>
        <v>7140</v>
      </c>
      <c r="S72" s="36">
        <f t="shared" si="10"/>
        <v>82350</v>
      </c>
      <c r="T72" s="14">
        <f t="shared" si="7"/>
        <v>0</v>
      </c>
      <c r="U72" s="14">
        <f t="shared" si="11"/>
        <v>82350</v>
      </c>
    </row>
    <row r="73" spans="1:21" s="15" customFormat="1" ht="27.9" customHeight="1">
      <c r="A73" s="4">
        <v>69</v>
      </c>
      <c r="B73" s="5" t="s">
        <v>91</v>
      </c>
      <c r="C73" s="6">
        <f>VLOOKUP(B73,'[1]附件六-費用調查表(表一)'!$E$7:$AA$112,9,FALSE)</f>
        <v>137020</v>
      </c>
      <c r="D73" s="6">
        <f>VLOOKUP(B73,'[1]附件六-費用調查表(表一)'!$E$7:$AA$112,10,FALSE)</f>
        <v>0</v>
      </c>
      <c r="E73" s="6">
        <f>VLOOKUP(B73,'[1]附件六-費用調查表(表一)'!$E$7:$AA$112,11,FALSE)</f>
        <v>31620</v>
      </c>
      <c r="F73" s="6">
        <f>VLOOKUP(B73,'[1]附件六-費用調查表(表一)'!$E$7:$AA$112,13,FALSE)</f>
        <v>5270</v>
      </c>
      <c r="G73" s="6">
        <f>VLOOKUP(B73,'[1]附件六-費用調查表(表一)'!$E$7:$AA$112,14,FALSE)</f>
        <v>0</v>
      </c>
      <c r="H73" s="6">
        <f>VLOOKUP(B73,'[1]附件六-費用調查表(表一)'!$E$7:$AA$112,15,FALSE)</f>
        <v>0</v>
      </c>
      <c r="I73" s="7">
        <f t="shared" si="8"/>
        <v>173910</v>
      </c>
      <c r="J73" s="8">
        <f>VLOOKUP(B73,'[1]附件六-費用調查表(表一)'!$E$7:$AA$111,17,FALSE)</f>
        <v>4650</v>
      </c>
      <c r="K73" s="9"/>
      <c r="L73" s="10">
        <v>0</v>
      </c>
      <c r="M73" s="11">
        <f>VLOOKUP('107學年度第2學期經費核定表'!B73,'[1]附件六-費用調查表(表一)'!$E$7:$AA$111,21,FALSE)</f>
        <v>22219</v>
      </c>
      <c r="N73" s="12">
        <f>VLOOKUP(B73,'[1]附件六-費用調查表(表一)'!$E$7:$AA$111,18,FALSE)</f>
        <v>0</v>
      </c>
      <c r="O73" s="12">
        <f>VLOOKUP(B73,'[1]附件六-費用調查表(表一)'!$E$7:$AA$111,22,FALSE)</f>
        <v>48028</v>
      </c>
      <c r="P73" s="12">
        <f>72042+1</f>
        <v>72043</v>
      </c>
      <c r="Q73" s="13">
        <v>0</v>
      </c>
      <c r="R73" s="13">
        <f t="shared" si="9"/>
        <v>31620</v>
      </c>
      <c r="S73" s="36">
        <f t="shared" si="10"/>
        <v>169260</v>
      </c>
      <c r="T73" s="14">
        <f t="shared" si="7"/>
        <v>0</v>
      </c>
      <c r="U73" s="14">
        <f t="shared" si="11"/>
        <v>169260</v>
      </c>
    </row>
    <row r="74" spans="1:21" s="15" customFormat="1" ht="27.9" customHeight="1">
      <c r="A74" s="4">
        <v>70</v>
      </c>
      <c r="B74" s="5" t="s">
        <v>92</v>
      </c>
      <c r="C74" s="6">
        <f>VLOOKUP(B74,'[1]附件六-費用調查表(表一)'!$E$7:$AA$112,9,FALSE)</f>
        <v>70980</v>
      </c>
      <c r="D74" s="6">
        <f>VLOOKUP(B74,'[1]附件六-費用調查表(表一)'!$E$7:$AA$112,10,FALSE)</f>
        <v>5760</v>
      </c>
      <c r="E74" s="6">
        <f>VLOOKUP(B74,'[1]附件六-費用調查表(表一)'!$E$7:$AA$112,11,FALSE)</f>
        <v>16380</v>
      </c>
      <c r="F74" s="6">
        <f>VLOOKUP(B74,'[1]附件六-費用調查表(表一)'!$E$7:$AA$112,13,FALSE)</f>
        <v>2910</v>
      </c>
      <c r="G74" s="6">
        <f>VLOOKUP(B74,'[1]附件六-費用調查表(表一)'!$E$7:$AA$112,14,FALSE)</f>
        <v>0</v>
      </c>
      <c r="H74" s="6">
        <f>VLOOKUP(B74,'[1]附件六-費用調查表(表一)'!$E$7:$AA$112,15,FALSE)</f>
        <v>0</v>
      </c>
      <c r="I74" s="7">
        <f t="shared" si="8"/>
        <v>96030</v>
      </c>
      <c r="J74" s="8">
        <f>VLOOKUP(B74,'[1]附件六-費用調查表(表一)'!$E$7:$AA$111,17,FALSE)</f>
        <v>0</v>
      </c>
      <c r="K74" s="9"/>
      <c r="L74" s="10">
        <v>0</v>
      </c>
      <c r="M74" s="11">
        <f>VLOOKUP('107學年度第2學期經費核定表'!B74,'[1]附件六-費用調查表(表一)'!$E$7:$AA$111,21,FALSE)</f>
        <v>0</v>
      </c>
      <c r="N74" s="12">
        <f>VLOOKUP(B74,'[1]附件六-費用調查表(表一)'!$E$7:$AA$111,18,FALSE)</f>
        <v>0</v>
      </c>
      <c r="O74" s="12">
        <f>VLOOKUP(B74,'[1]附件六-費用調查表(表一)'!$E$7:$AA$111,22,FALSE)</f>
        <v>31860</v>
      </c>
      <c r="P74" s="12">
        <f>VLOOKUP(B74,'[1]附件六-費用調查表(表一)'!$E$7:$AA$111,23,FALSE)</f>
        <v>47790</v>
      </c>
      <c r="Q74" s="13">
        <v>1680</v>
      </c>
      <c r="R74" s="13">
        <f t="shared" si="9"/>
        <v>16380</v>
      </c>
      <c r="S74" s="36">
        <f t="shared" si="10"/>
        <v>97710</v>
      </c>
      <c r="T74" s="14">
        <f t="shared" si="7"/>
        <v>0</v>
      </c>
      <c r="U74" s="14">
        <f t="shared" si="11"/>
        <v>97710</v>
      </c>
    </row>
    <row r="75" spans="1:21" s="15" customFormat="1" ht="27.9" customHeight="1">
      <c r="A75" s="4">
        <v>71</v>
      </c>
      <c r="B75" s="5" t="s">
        <v>93</v>
      </c>
      <c r="C75" s="6">
        <f>VLOOKUP(B75,'[1]附件六-費用調查表(表一)'!$E$7:$AA$112,9,FALSE)</f>
        <v>46800</v>
      </c>
      <c r="D75" s="6">
        <f>VLOOKUP(B75,'[1]附件六-費用調查表(表一)'!$E$7:$AA$112,10,FALSE)</f>
        <v>80640</v>
      </c>
      <c r="E75" s="6">
        <f>VLOOKUP(B75,'[1]附件六-費用調查表(表一)'!$E$7:$AA$112,11,FALSE)</f>
        <v>10800</v>
      </c>
      <c r="F75" s="6">
        <f>VLOOKUP(B75,'[1]附件六-費用調查表(表一)'!$E$7:$AA$112,13,FALSE)</f>
        <v>4320</v>
      </c>
      <c r="G75" s="6">
        <f>VLOOKUP(B75,'[1]附件六-費用調查表(表一)'!$E$7:$AA$112,14,FALSE)</f>
        <v>0</v>
      </c>
      <c r="H75" s="6">
        <f>VLOOKUP(B75,'[1]附件六-費用調查表(表一)'!$E$7:$AA$112,15,FALSE)</f>
        <v>0</v>
      </c>
      <c r="I75" s="7">
        <f t="shared" si="8"/>
        <v>142560</v>
      </c>
      <c r="J75" s="8">
        <f>VLOOKUP(B75,'[1]附件六-費用調查表(表一)'!$E$7:$AA$111,17,FALSE)</f>
        <v>0</v>
      </c>
      <c r="K75" s="9"/>
      <c r="L75" s="10">
        <v>0</v>
      </c>
      <c r="M75" s="11">
        <f>VLOOKUP('107學年度第2學期經費核定表'!B75,'[1]附件六-費用調查表(表一)'!$E$7:$AA$111,21,FALSE)</f>
        <v>5987</v>
      </c>
      <c r="N75" s="12">
        <f>VLOOKUP(B75,'[1]附件六-費用調查表(表一)'!$E$7:$AA$111,18,FALSE)</f>
        <v>0</v>
      </c>
      <c r="O75" s="12">
        <f>VLOOKUP(B75,'[1]附件六-費用調查表(表一)'!$E$7:$AA$111,22,FALSE)</f>
        <v>50308</v>
      </c>
      <c r="P75" s="12">
        <f>75462+3</f>
        <v>75465</v>
      </c>
      <c r="Q75" s="13">
        <v>960</v>
      </c>
      <c r="R75" s="13">
        <f t="shared" si="9"/>
        <v>10800</v>
      </c>
      <c r="S75" s="36">
        <f t="shared" si="10"/>
        <v>143520</v>
      </c>
      <c r="T75" s="14">
        <f t="shared" si="7"/>
        <v>0</v>
      </c>
      <c r="U75" s="14">
        <f t="shared" si="11"/>
        <v>143520</v>
      </c>
    </row>
    <row r="76" spans="1:21" s="15" customFormat="1" ht="27.9" customHeight="1">
      <c r="A76" s="4">
        <v>72</v>
      </c>
      <c r="B76" s="5" t="s">
        <v>94</v>
      </c>
      <c r="C76" s="6">
        <f>VLOOKUP(B76,'[1]附件六-費用調查表(表一)'!$E$7:$AA$112,9,FALSE)</f>
        <v>131040</v>
      </c>
      <c r="D76" s="6">
        <f>VLOOKUP(B76,'[1]附件六-費用調查表(表一)'!$E$7:$AA$112,10,FALSE)</f>
        <v>69120</v>
      </c>
      <c r="E76" s="6">
        <f>VLOOKUP(B76,'[1]附件六-費用調查表(表一)'!$E$7:$AA$112,11,FALSE)</f>
        <v>30240</v>
      </c>
      <c r="F76" s="6">
        <f>VLOOKUP(B76,'[1]附件六-費用調查表(表一)'!$E$7:$AA$112,13,FALSE)</f>
        <v>7200</v>
      </c>
      <c r="G76" s="6">
        <f>VLOOKUP(B76,'[1]附件六-費用調查表(表一)'!$E$7:$AA$112,14,FALSE)</f>
        <v>0</v>
      </c>
      <c r="H76" s="6">
        <f>VLOOKUP(B76,'[1]附件六-費用調查表(表一)'!$E$7:$AA$112,15,FALSE)</f>
        <v>0</v>
      </c>
      <c r="I76" s="7">
        <f t="shared" si="8"/>
        <v>237600</v>
      </c>
      <c r="J76" s="8">
        <f>VLOOKUP(B76,'[1]附件六-費用調查表(表一)'!$E$7:$AA$111,17,FALSE)</f>
        <v>0</v>
      </c>
      <c r="K76" s="9"/>
      <c r="L76" s="10">
        <v>0</v>
      </c>
      <c r="M76" s="11">
        <f>VLOOKUP('107學年度第2學期經費核定表'!B76,'[1]附件六-費用調查表(表一)'!$E$7:$AA$111,21,FALSE)</f>
        <v>0</v>
      </c>
      <c r="N76" s="12">
        <f>VLOOKUP(B76,'[1]附件六-費用調查表(表一)'!$E$7:$AA$111,18,FALSE)</f>
        <v>0</v>
      </c>
      <c r="O76" s="12">
        <f>VLOOKUP(B76,'[1]附件六-費用調查表(表一)'!$E$7:$AA$111,22,FALSE)</f>
        <v>82944</v>
      </c>
      <c r="P76" s="12">
        <f>VLOOKUP(B76,'[1]附件六-費用調查表(表一)'!$E$7:$AA$111,23,FALSE)</f>
        <v>124416</v>
      </c>
      <c r="Q76" s="13">
        <v>2100</v>
      </c>
      <c r="R76" s="13">
        <f t="shared" si="9"/>
        <v>30240</v>
      </c>
      <c r="S76" s="36">
        <f t="shared" si="10"/>
        <v>239700</v>
      </c>
      <c r="T76" s="14">
        <f t="shared" si="7"/>
        <v>0</v>
      </c>
      <c r="U76" s="14">
        <f t="shared" si="11"/>
        <v>239700</v>
      </c>
    </row>
    <row r="77" spans="1:21" s="15" customFormat="1" ht="27.9" customHeight="1">
      <c r="A77" s="4">
        <v>73</v>
      </c>
      <c r="B77" s="5" t="s">
        <v>95</v>
      </c>
      <c r="C77" s="6">
        <f>VLOOKUP(B77,'[1]附件六-費用調查表(表一)'!$E$7:$AA$112,9,FALSE)</f>
        <v>196560</v>
      </c>
      <c r="D77" s="6">
        <f>VLOOKUP(B77,'[1]附件六-費用調查表(表一)'!$E$7:$AA$112,10,FALSE)</f>
        <v>115200</v>
      </c>
      <c r="E77" s="6">
        <f>VLOOKUP(B77,'[1]附件六-費用調查表(表一)'!$E$7:$AA$112,11,FALSE)</f>
        <v>45360</v>
      </c>
      <c r="F77" s="6">
        <f>VLOOKUP(B77,'[1]附件六-費用調查表(表一)'!$E$7:$AA$112,13,FALSE)</f>
        <v>11160</v>
      </c>
      <c r="G77" s="6">
        <f>VLOOKUP(B77,'[1]附件六-費用調查表(表一)'!$E$7:$AA$112,14,FALSE)</f>
        <v>0</v>
      </c>
      <c r="H77" s="6">
        <f>VLOOKUP(B77,'[1]附件六-費用調查表(表一)'!$E$7:$AA$112,15,FALSE)</f>
        <v>0</v>
      </c>
      <c r="I77" s="7">
        <f t="shared" si="8"/>
        <v>368280</v>
      </c>
      <c r="J77" s="8">
        <f>VLOOKUP(B77,'[1]附件六-費用調查表(表一)'!$E$7:$AA$111,17,FALSE)</f>
        <v>0</v>
      </c>
      <c r="K77" s="9"/>
      <c r="L77" s="10">
        <v>0</v>
      </c>
      <c r="M77" s="11">
        <f>VLOOKUP('107學年度第2學期經費核定表'!B77,'[1]附件六-費用調查表(表一)'!$E$7:$AA$111,21,FALSE)</f>
        <v>0</v>
      </c>
      <c r="N77" s="12">
        <f>VLOOKUP(B77,'[1]附件六-費用調查表(表一)'!$E$7:$AA$111,18,FALSE)</f>
        <v>0</v>
      </c>
      <c r="O77" s="12">
        <f>VLOOKUP(B77,'[1]附件六-費用調查表(表一)'!$E$7:$AA$111,22,FALSE)</f>
        <v>129168</v>
      </c>
      <c r="P77" s="12">
        <f>VLOOKUP(B77,'[1]附件六-費用調查表(表一)'!$E$7:$AA$111,23,FALSE)</f>
        <v>193752</v>
      </c>
      <c r="Q77" s="13">
        <v>0</v>
      </c>
      <c r="R77" s="13">
        <f t="shared" si="9"/>
        <v>45360</v>
      </c>
      <c r="S77" s="36">
        <f t="shared" si="10"/>
        <v>368280</v>
      </c>
      <c r="T77" s="14">
        <f t="shared" si="7"/>
        <v>0</v>
      </c>
      <c r="U77" s="14">
        <f t="shared" si="11"/>
        <v>368280</v>
      </c>
    </row>
    <row r="78" spans="1:21" s="15" customFormat="1" ht="27.9" customHeight="1">
      <c r="A78" s="4">
        <v>74</v>
      </c>
      <c r="B78" s="5" t="s">
        <v>96</v>
      </c>
      <c r="C78" s="6">
        <f>VLOOKUP(B78,'[1]附件六-費用調查表(表一)'!$E$7:$AA$112,9,FALSE)</f>
        <v>24960</v>
      </c>
      <c r="D78" s="6">
        <f>VLOOKUP(B78,'[1]附件六-費用調查表(表一)'!$E$7:$AA$112,10,FALSE)</f>
        <v>30720</v>
      </c>
      <c r="E78" s="6">
        <f>VLOOKUP(B78,'[1]附件六-費用調查表(表一)'!$E$7:$AA$112,11,FALSE)</f>
        <v>5760</v>
      </c>
      <c r="F78" s="6">
        <f>VLOOKUP(B78,'[1]附件六-費用調查表(表一)'!$E$7:$AA$112,13,FALSE)</f>
        <v>1920</v>
      </c>
      <c r="G78" s="6">
        <f>VLOOKUP(B78,'[1]附件六-費用調查表(表一)'!$E$7:$AA$112,14,FALSE)</f>
        <v>0</v>
      </c>
      <c r="H78" s="6">
        <f>VLOOKUP(B78,'[1]附件六-費用調查表(表一)'!$E$7:$AA$112,15,FALSE)</f>
        <v>0</v>
      </c>
      <c r="I78" s="7">
        <f t="shared" si="8"/>
        <v>63360</v>
      </c>
      <c r="J78" s="8">
        <f>VLOOKUP(B78,'[1]附件六-費用調查表(表一)'!$E$7:$AA$111,17,FALSE)</f>
        <v>0</v>
      </c>
      <c r="K78" s="9"/>
      <c r="L78" s="10">
        <v>0</v>
      </c>
      <c r="M78" s="11">
        <f>VLOOKUP('107學年度第2學期經費核定表'!B78,'[1]附件六-費用調查表(表一)'!$E$7:$AA$111,21,FALSE)</f>
        <v>9760</v>
      </c>
      <c r="N78" s="12">
        <f>VLOOKUP(B78,'[1]附件六-費用調查表(表一)'!$E$7:$AA$111,18,FALSE)</f>
        <v>0</v>
      </c>
      <c r="O78" s="12">
        <f>VLOOKUP(B78,'[1]附件六-費用調查表(表一)'!$E$7:$AA$111,22,FALSE)</f>
        <v>19136</v>
      </c>
      <c r="P78" s="12">
        <f>VLOOKUP(B78,'[1]附件六-費用調查表(表一)'!$E$7:$AA$111,23,FALSE)</f>
        <v>28704</v>
      </c>
      <c r="Q78" s="13">
        <v>0</v>
      </c>
      <c r="R78" s="13">
        <f t="shared" si="9"/>
        <v>5760</v>
      </c>
      <c r="S78" s="36">
        <f t="shared" si="10"/>
        <v>63360</v>
      </c>
      <c r="T78" s="14">
        <f t="shared" si="7"/>
        <v>0</v>
      </c>
      <c r="U78" s="14">
        <f t="shared" si="11"/>
        <v>63360</v>
      </c>
    </row>
    <row r="79" spans="1:21" s="15" customFormat="1" ht="27.9" customHeight="1">
      <c r="A79" s="4">
        <v>75</v>
      </c>
      <c r="B79" s="5" t="s">
        <v>97</v>
      </c>
      <c r="C79" s="6">
        <f>VLOOKUP(B79,'[1]附件六-費用調查表(表一)'!$E$7:$AA$112,9,FALSE)</f>
        <v>20800</v>
      </c>
      <c r="D79" s="6">
        <f>VLOOKUP(B79,'[1]附件六-費用調查表(表一)'!$E$7:$AA$112,10,FALSE)</f>
        <v>61440</v>
      </c>
      <c r="E79" s="6">
        <f>VLOOKUP(B79,'[1]附件六-費用調查表(表一)'!$E$7:$AA$112,11,FALSE)</f>
        <v>4800</v>
      </c>
      <c r="F79" s="6">
        <f>VLOOKUP(B79,'[1]附件六-費用調查表(表一)'!$E$7:$AA$112,13,FALSE)</f>
        <v>2720</v>
      </c>
      <c r="G79" s="6">
        <f>VLOOKUP(B79,'[1]附件六-費用調查表(表一)'!$E$7:$AA$112,14,FALSE)</f>
        <v>0</v>
      </c>
      <c r="H79" s="6">
        <f>VLOOKUP(B79,'[1]附件六-費用調查表(表一)'!$E$7:$AA$112,15,FALSE)</f>
        <v>0</v>
      </c>
      <c r="I79" s="7">
        <f t="shared" si="8"/>
        <v>89760</v>
      </c>
      <c r="J79" s="8">
        <f>VLOOKUP(B79,'[1]附件六-費用調查表(表一)'!$E$7:$AA$111,17,FALSE)</f>
        <v>6600</v>
      </c>
      <c r="K79" s="9"/>
      <c r="L79" s="10">
        <v>0</v>
      </c>
      <c r="M79" s="11">
        <f>VLOOKUP('107學年度第2學期經費核定表'!B79,'[1]附件六-費用調查表(表一)'!$E$7:$AA$111,21,FALSE)</f>
        <v>0</v>
      </c>
      <c r="N79" s="12">
        <f>VLOOKUP(B79,'[1]附件六-費用調查表(表一)'!$E$7:$AA$111,18,FALSE)</f>
        <v>0</v>
      </c>
      <c r="O79" s="12">
        <f>VLOOKUP(B79,'[1]附件六-費用調查表(表一)'!$E$7:$AA$111,22,FALSE)</f>
        <v>33984</v>
      </c>
      <c r="P79" s="12">
        <f>VLOOKUP(B79,'[1]附件六-費用調查表(表一)'!$E$7:$AA$111,23,FALSE)</f>
        <v>50976</v>
      </c>
      <c r="Q79" s="13">
        <v>0</v>
      </c>
      <c r="R79" s="13">
        <f t="shared" si="9"/>
        <v>4800</v>
      </c>
      <c r="S79" s="36">
        <f t="shared" si="10"/>
        <v>83160</v>
      </c>
      <c r="T79" s="14">
        <f t="shared" si="7"/>
        <v>0</v>
      </c>
      <c r="U79" s="14">
        <f t="shared" si="11"/>
        <v>83160</v>
      </c>
    </row>
    <row r="80" spans="1:21" s="15" customFormat="1" ht="27.9" customHeight="1">
      <c r="A80" s="4">
        <v>76</v>
      </c>
      <c r="B80" s="5" t="s">
        <v>98</v>
      </c>
      <c r="C80" s="6">
        <f>VLOOKUP(B80,'[1]附件六-費用調查表(表一)'!$E$7:$AA$112,9,FALSE)</f>
        <v>15600</v>
      </c>
      <c r="D80" s="6">
        <f>VLOOKUP(B80,'[1]附件六-費用調查表(表一)'!$E$7:$AA$112,10,FALSE)</f>
        <v>19200</v>
      </c>
      <c r="E80" s="6">
        <f>VLOOKUP(B80,'[1]附件六-費用調查表(表一)'!$E$7:$AA$112,11,FALSE)</f>
        <v>3600</v>
      </c>
      <c r="F80" s="6">
        <f>VLOOKUP(B80,'[1]附件六-費用調查表(表一)'!$E$7:$AA$112,13,FALSE)</f>
        <v>1200</v>
      </c>
      <c r="G80" s="6">
        <f>VLOOKUP(B80,'[1]附件六-費用調查表(表一)'!$E$7:$AA$112,14,FALSE)</f>
        <v>0</v>
      </c>
      <c r="H80" s="6">
        <f>VLOOKUP(B80,'[1]附件六-費用調查表(表一)'!$E$7:$AA$112,15,FALSE)</f>
        <v>0</v>
      </c>
      <c r="I80" s="7">
        <f t="shared" si="8"/>
        <v>39600</v>
      </c>
      <c r="J80" s="8">
        <f>VLOOKUP(B80,'[1]附件六-費用調查表(表一)'!$E$7:$AA$111,17,FALSE)</f>
        <v>0</v>
      </c>
      <c r="K80" s="9"/>
      <c r="L80" s="10">
        <v>0</v>
      </c>
      <c r="M80" s="11">
        <f>VLOOKUP('107學年度第2學期經費核定表'!B80,'[1]附件六-費用調查表(表一)'!$E$7:$AA$111,21,FALSE)</f>
        <v>0</v>
      </c>
      <c r="N80" s="12">
        <f>VLOOKUP(B80,'[1]附件六-費用調查表(表一)'!$E$7:$AA$111,18,FALSE)</f>
        <v>0</v>
      </c>
      <c r="O80" s="12">
        <f>VLOOKUP(B80,'[1]附件六-費用調查表(表一)'!$E$7:$AA$111,22,FALSE)</f>
        <v>14400</v>
      </c>
      <c r="P80" s="12">
        <f>VLOOKUP(B80,'[1]附件六-費用調查表(表一)'!$E$7:$AA$111,23,FALSE)</f>
        <v>21600</v>
      </c>
      <c r="Q80" s="13">
        <v>420</v>
      </c>
      <c r="R80" s="13">
        <f t="shared" si="9"/>
        <v>3600</v>
      </c>
      <c r="S80" s="36">
        <f t="shared" si="10"/>
        <v>40020</v>
      </c>
      <c r="T80" s="14">
        <f t="shared" si="7"/>
        <v>0</v>
      </c>
      <c r="U80" s="14">
        <f t="shared" si="11"/>
        <v>40020</v>
      </c>
    </row>
    <row r="81" spans="1:21" s="15" customFormat="1" ht="27.9" customHeight="1">
      <c r="A81" s="4">
        <v>77</v>
      </c>
      <c r="B81" s="5" t="s">
        <v>99</v>
      </c>
      <c r="C81" s="6">
        <f>VLOOKUP(B81,'[1]附件六-費用調查表(表一)'!$E$7:$AA$112,9,FALSE)</f>
        <v>44200</v>
      </c>
      <c r="D81" s="6">
        <f>VLOOKUP(B81,'[1]附件六-費用調查表(表一)'!$E$7:$AA$112,10,FALSE)</f>
        <v>65280</v>
      </c>
      <c r="E81" s="6">
        <f>VLOOKUP(B81,'[1]附件六-費用調查表(表一)'!$E$7:$AA$112,11,FALSE)</f>
        <v>10200</v>
      </c>
      <c r="F81" s="6">
        <f>VLOOKUP(B81,'[1]附件六-費用調查表(表一)'!$E$7:$AA$112,13,FALSE)</f>
        <v>3740</v>
      </c>
      <c r="G81" s="6">
        <f>VLOOKUP(B81,'[1]附件六-費用調查表(表一)'!$E$7:$AA$112,14,FALSE)</f>
        <v>3911</v>
      </c>
      <c r="H81" s="6">
        <f>VLOOKUP(B81,'[1]附件六-費用調查表(表一)'!$E$7:$AA$112,15,FALSE)</f>
        <v>3454</v>
      </c>
      <c r="I81" s="7">
        <f t="shared" si="8"/>
        <v>130785</v>
      </c>
      <c r="J81" s="8">
        <f>VLOOKUP(B81,'[1]附件六-費用調查表(表一)'!$E$7:$AA$111,17,FALSE)</f>
        <v>445</v>
      </c>
      <c r="K81" s="9"/>
      <c r="L81" s="10">
        <v>0</v>
      </c>
      <c r="M81" s="11">
        <f>VLOOKUP('107學年度第2學期經費核定表'!B81,'[1]附件六-費用調查表(表一)'!$E$7:$AA$111,21,FALSE)</f>
        <v>0</v>
      </c>
      <c r="N81" s="12">
        <f>VLOOKUP(B81,'[1]附件六-費用調查表(表一)'!$E$7:$AA$111,18,FALSE)</f>
        <v>0</v>
      </c>
      <c r="O81" s="12">
        <f>VLOOKUP(B81,'[1]附件六-費用調查表(表一)'!$E$7:$AA$111,22,FALSE)</f>
        <v>48234</v>
      </c>
      <c r="P81" s="12">
        <f>VLOOKUP(B81,'[1]附件六-費用調查表(表一)'!$E$7:$AA$111,23,FALSE)</f>
        <v>72351</v>
      </c>
      <c r="Q81" s="13">
        <v>0</v>
      </c>
      <c r="R81" s="13">
        <f t="shared" si="9"/>
        <v>10200</v>
      </c>
      <c r="S81" s="36">
        <f t="shared" si="10"/>
        <v>130340</v>
      </c>
      <c r="T81" s="14">
        <f t="shared" ref="T81:T102" si="12">K81</f>
        <v>0</v>
      </c>
      <c r="U81" s="14">
        <f t="shared" si="11"/>
        <v>130340</v>
      </c>
    </row>
    <row r="82" spans="1:21" s="15" customFormat="1" ht="27.9" customHeight="1">
      <c r="A82" s="4">
        <v>78</v>
      </c>
      <c r="B82" s="5" t="s">
        <v>100</v>
      </c>
      <c r="C82" s="6">
        <f>VLOOKUP(B82,'[1]附件六-費用調查表(表一)'!$E$7:$AA$112,9,FALSE)</f>
        <v>70200</v>
      </c>
      <c r="D82" s="6">
        <f>VLOOKUP(B82,'[1]附件六-費用調查表(表一)'!$E$7:$AA$112,10,FALSE)</f>
        <v>46080</v>
      </c>
      <c r="E82" s="6">
        <f>VLOOKUP(B82,'[1]附件六-費用調查表(表一)'!$E$7:$AA$112,11,FALSE)</f>
        <v>16200</v>
      </c>
      <c r="F82" s="6">
        <f>VLOOKUP(B82,'[1]附件六-費用調查表(表一)'!$E$7:$AA$112,13,FALSE)</f>
        <v>4140</v>
      </c>
      <c r="G82" s="6">
        <f>VLOOKUP(B82,'[1]附件六-費用調查表(表一)'!$E$7:$AA$112,14,FALSE)</f>
        <v>0</v>
      </c>
      <c r="H82" s="6">
        <f>VLOOKUP(B82,'[1]附件六-費用調查表(表一)'!$E$7:$AA$112,15,FALSE)</f>
        <v>0</v>
      </c>
      <c r="I82" s="7">
        <f t="shared" si="8"/>
        <v>136620</v>
      </c>
      <c r="J82" s="8">
        <f>VLOOKUP(B82,'[1]附件六-費用調查表(表一)'!$E$7:$AA$111,17,FALSE)</f>
        <v>3030</v>
      </c>
      <c r="K82" s="9"/>
      <c r="L82" s="10">
        <v>0</v>
      </c>
      <c r="M82" s="11">
        <f>VLOOKUP('107學年度第2學期經費核定表'!B82,'[1]附件六-費用調查表(表一)'!$E$7:$AA$111,21,FALSE)</f>
        <v>0</v>
      </c>
      <c r="N82" s="12">
        <f>VLOOKUP(B82,'[1]附件六-費用調查表(表一)'!$E$7:$AA$111,18,FALSE)</f>
        <v>0</v>
      </c>
      <c r="O82" s="12">
        <f>VLOOKUP(B82,'[1]附件六-費用調查表(表一)'!$E$7:$AA$111,22,FALSE)</f>
        <v>48168</v>
      </c>
      <c r="P82" s="12">
        <f>VLOOKUP(B82,'[1]附件六-費用調查表(表一)'!$E$7:$AA$111,23,FALSE)</f>
        <v>72252</v>
      </c>
      <c r="Q82" s="13">
        <v>0</v>
      </c>
      <c r="R82" s="13">
        <f t="shared" si="9"/>
        <v>16200</v>
      </c>
      <c r="S82" s="36">
        <f t="shared" si="10"/>
        <v>133590</v>
      </c>
      <c r="T82" s="14">
        <f t="shared" si="12"/>
        <v>0</v>
      </c>
      <c r="U82" s="14">
        <f t="shared" si="11"/>
        <v>133590</v>
      </c>
    </row>
    <row r="83" spans="1:21" s="15" customFormat="1" ht="27.9" customHeight="1">
      <c r="A83" s="4">
        <v>79</v>
      </c>
      <c r="B83" s="5" t="s">
        <v>101</v>
      </c>
      <c r="C83" s="6">
        <f>VLOOKUP(B83,'[1]附件六-費用調查表(表一)'!$E$7:$AA$112,9,FALSE)</f>
        <v>46280</v>
      </c>
      <c r="D83" s="6">
        <f>VLOOKUP(B83,'[1]附件六-費用調查表(表一)'!$E$7:$AA$112,10,FALSE)</f>
        <v>71680</v>
      </c>
      <c r="E83" s="6">
        <f>VLOOKUP(B83,'[1]附件六-費用調查表(表一)'!$E$7:$AA$112,11,FALSE)</f>
        <v>10680</v>
      </c>
      <c r="F83" s="6">
        <f>VLOOKUP(B83,'[1]附件六-費用調查表(表一)'!$E$7:$AA$112,13,FALSE)</f>
        <v>4020</v>
      </c>
      <c r="G83" s="6">
        <f>VLOOKUP(B83,'[1]附件六-費用調查表(表一)'!$E$7:$AA$112,14,FALSE)</f>
        <v>0</v>
      </c>
      <c r="H83" s="6">
        <f>VLOOKUP(B83,'[1]附件六-費用調查表(表一)'!$E$7:$AA$112,15,FALSE)</f>
        <v>0</v>
      </c>
      <c r="I83" s="7">
        <f t="shared" si="8"/>
        <v>132660</v>
      </c>
      <c r="J83" s="8">
        <f>VLOOKUP(B83,'[1]附件六-費用調查表(表一)'!$E$7:$AA$111,17,FALSE)</f>
        <v>0</v>
      </c>
      <c r="K83" s="9"/>
      <c r="L83" s="10">
        <v>0</v>
      </c>
      <c r="M83" s="11">
        <f>VLOOKUP('107學年度第2學期經費核定表'!B83,'[1]附件六-費用調查表(表一)'!$E$7:$AA$111,21,FALSE)</f>
        <v>0</v>
      </c>
      <c r="N83" s="12">
        <f>VLOOKUP(B83,'[1]附件六-費用調查表(表一)'!$E$7:$AA$111,18,FALSE)</f>
        <v>0</v>
      </c>
      <c r="O83" s="12">
        <f>VLOOKUP(B83,'[1]附件六-費用調查表(表一)'!$E$7:$AA$111,22,FALSE)</f>
        <v>48792</v>
      </c>
      <c r="P83" s="12">
        <f>VLOOKUP(B83,'[1]附件六-費用調查表(表一)'!$E$7:$AA$111,23,FALSE)</f>
        <v>73188</v>
      </c>
      <c r="Q83" s="13">
        <v>1620</v>
      </c>
      <c r="R83" s="13">
        <f t="shared" si="9"/>
        <v>10680</v>
      </c>
      <c r="S83" s="36">
        <f t="shared" si="10"/>
        <v>134280</v>
      </c>
      <c r="T83" s="14">
        <f t="shared" si="12"/>
        <v>0</v>
      </c>
      <c r="U83" s="14">
        <f t="shared" si="11"/>
        <v>134280</v>
      </c>
    </row>
    <row r="84" spans="1:21" s="15" customFormat="1" ht="27.9" customHeight="1">
      <c r="A84" s="4">
        <v>80</v>
      </c>
      <c r="B84" s="5" t="s">
        <v>102</v>
      </c>
      <c r="C84" s="6">
        <f>VLOOKUP(B84,'[1]附件六-費用調查表(表一)'!$E$7:$AA$112,9,FALSE)</f>
        <v>4680</v>
      </c>
      <c r="D84" s="6">
        <f>VLOOKUP(B84,'[1]附件六-費用調查表(表一)'!$E$7:$AA$112,10,FALSE)</f>
        <v>23040</v>
      </c>
      <c r="E84" s="6">
        <f>VLOOKUP(B84,'[1]附件六-費用調查表(表一)'!$E$7:$AA$112,11,FALSE)</f>
        <v>1080</v>
      </c>
      <c r="F84" s="6">
        <f>VLOOKUP(B84,'[1]附件六-費用調查表(表一)'!$E$7:$AA$112,13,FALSE)</f>
        <v>900</v>
      </c>
      <c r="G84" s="6">
        <f>VLOOKUP(B84,'[1]附件六-費用調查表(表一)'!$E$7:$AA$112,14,FALSE)</f>
        <v>0</v>
      </c>
      <c r="H84" s="6">
        <f>VLOOKUP(B84,'[1]附件六-費用調查表(表一)'!$E$7:$AA$112,15,FALSE)</f>
        <v>0</v>
      </c>
      <c r="I84" s="7">
        <f t="shared" si="8"/>
        <v>29700</v>
      </c>
      <c r="J84" s="8">
        <f>VLOOKUP(B84,'[1]附件六-費用調查表(表一)'!$E$7:$AA$111,17,FALSE)</f>
        <v>1040</v>
      </c>
      <c r="K84" s="9"/>
      <c r="L84" s="10">
        <v>0</v>
      </c>
      <c r="M84" s="11">
        <f>VLOOKUP('107學年度第2學期經費核定表'!B84,'[1]附件六-費用調查表(表一)'!$E$7:$AA$111,21,FALSE)</f>
        <v>0</v>
      </c>
      <c r="N84" s="12">
        <f>VLOOKUP(B84,'[1]附件六-費用調查表(表一)'!$E$7:$AA$111,18,FALSE)</f>
        <v>0</v>
      </c>
      <c r="O84" s="12">
        <f>VLOOKUP(B84,'[1]附件六-費用調查表(表一)'!$E$7:$AA$111,22,FALSE)</f>
        <v>11448</v>
      </c>
      <c r="P84" s="12">
        <f>VLOOKUP(B84,'[1]附件六-費用調查表(表一)'!$E$7:$AA$111,23,FALSE)</f>
        <v>17172</v>
      </c>
      <c r="Q84" s="13">
        <v>0</v>
      </c>
      <c r="R84" s="13">
        <f t="shared" si="9"/>
        <v>1080</v>
      </c>
      <c r="S84" s="36">
        <f t="shared" si="10"/>
        <v>28660</v>
      </c>
      <c r="T84" s="14">
        <f t="shared" si="12"/>
        <v>0</v>
      </c>
      <c r="U84" s="14">
        <f t="shared" si="11"/>
        <v>28660</v>
      </c>
    </row>
    <row r="85" spans="1:21" s="15" customFormat="1" ht="27.9" customHeight="1">
      <c r="A85" s="4">
        <v>81</v>
      </c>
      <c r="B85" s="5" t="s">
        <v>103</v>
      </c>
      <c r="C85" s="6">
        <f>VLOOKUP(B85,'[1]附件六-費用調查表(表一)'!$E$7:$AA$112,9,FALSE)</f>
        <v>44720</v>
      </c>
      <c r="D85" s="6">
        <f>VLOOKUP(B85,'[1]附件六-費用調查表(表一)'!$E$7:$AA$112,10,FALSE)</f>
        <v>21760</v>
      </c>
      <c r="E85" s="6">
        <f>VLOOKUP(B85,'[1]附件六-費用調查表(表一)'!$E$7:$AA$112,11,FALSE)</f>
        <v>10320</v>
      </c>
      <c r="F85" s="6">
        <f>VLOOKUP(B85,'[1]附件六-費用調查表(表一)'!$E$7:$AA$112,13,FALSE)</f>
        <v>2400</v>
      </c>
      <c r="G85" s="6">
        <f>VLOOKUP(B85,'[1]附件六-費用調查表(表一)'!$E$7:$AA$112,14,FALSE)</f>
        <v>0</v>
      </c>
      <c r="H85" s="6">
        <f>VLOOKUP(B85,'[1]附件六-費用調查表(表一)'!$E$7:$AA$112,15,FALSE)</f>
        <v>0</v>
      </c>
      <c r="I85" s="7">
        <f t="shared" si="8"/>
        <v>79200</v>
      </c>
      <c r="J85" s="8">
        <f>VLOOKUP(B85,'[1]附件六-費用調查表(表一)'!$E$7:$AA$111,17,FALSE)</f>
        <v>0</v>
      </c>
      <c r="K85" s="9"/>
      <c r="L85" s="10">
        <v>0</v>
      </c>
      <c r="M85" s="11">
        <f>VLOOKUP('107學年度第2學期經費核定表'!B85,'[1]附件六-費用調查表(表一)'!$E$7:$AA$111,21,FALSE)</f>
        <v>0</v>
      </c>
      <c r="N85" s="12">
        <f>VLOOKUP(B85,'[1]附件六-費用調查表(表一)'!$E$7:$AA$111,18,FALSE)</f>
        <v>0</v>
      </c>
      <c r="O85" s="12">
        <f>VLOOKUP(B85,'[1]附件六-費用調查表(表一)'!$E$7:$AA$111,22,FALSE)</f>
        <v>27552</v>
      </c>
      <c r="P85" s="12">
        <f>VLOOKUP(B85,'[1]附件六-費用調查表(表一)'!$E$7:$AA$111,23,FALSE)</f>
        <v>41328</v>
      </c>
      <c r="Q85" s="13">
        <v>0</v>
      </c>
      <c r="R85" s="13">
        <f t="shared" si="9"/>
        <v>10320</v>
      </c>
      <c r="S85" s="36">
        <f t="shared" si="10"/>
        <v>79200</v>
      </c>
      <c r="T85" s="14">
        <f t="shared" si="12"/>
        <v>0</v>
      </c>
      <c r="U85" s="14">
        <f t="shared" si="11"/>
        <v>79200</v>
      </c>
    </row>
    <row r="86" spans="1:21" s="15" customFormat="1" ht="27.9" customHeight="1">
      <c r="A86" s="4">
        <v>82</v>
      </c>
      <c r="B86" s="5" t="s">
        <v>104</v>
      </c>
      <c r="C86" s="6">
        <f>VLOOKUP(B86,'[1]附件六-費用調查表(表一)'!$E$7:$AA$112,9,FALSE)</f>
        <v>57460</v>
      </c>
      <c r="D86" s="6">
        <f>VLOOKUP(B86,'[1]附件六-費用調查表(表一)'!$E$7:$AA$112,10,FALSE)</f>
        <v>0</v>
      </c>
      <c r="E86" s="6">
        <f>VLOOKUP(B86,'[1]附件六-費用調查表(表一)'!$E$7:$AA$112,11,FALSE)</f>
        <v>13260</v>
      </c>
      <c r="F86" s="6">
        <f>VLOOKUP(B86,'[1]附件六-費用調查表(表一)'!$E$7:$AA$112,13,FALSE)</f>
        <v>2210</v>
      </c>
      <c r="G86" s="6">
        <f>VLOOKUP(B86,'[1]附件六-費用調查表(表一)'!$E$7:$AA$112,14,FALSE)</f>
        <v>1836</v>
      </c>
      <c r="H86" s="6">
        <f>VLOOKUP(B86,'[1]附件六-費用調查表(表一)'!$E$7:$AA$112,15,FALSE)</f>
        <v>1913</v>
      </c>
      <c r="I86" s="7">
        <f t="shared" si="8"/>
        <v>76679</v>
      </c>
      <c r="J86" s="8">
        <f>VLOOKUP(B86,'[1]附件六-費用調查表(表一)'!$E$7:$AA$111,17,FALSE)</f>
        <v>0</v>
      </c>
      <c r="K86" s="9"/>
      <c r="L86" s="10">
        <v>0</v>
      </c>
      <c r="M86" s="11">
        <f>VLOOKUP('107學年度第2學期經費核定表'!B86,'[1]附件六-費用調查表(表一)'!$E$7:$AA$111,21,FALSE)</f>
        <v>0</v>
      </c>
      <c r="N86" s="12">
        <f>VLOOKUP(B86,'[1]附件六-費用調查表(表一)'!$E$7:$AA$111,18,FALSE)</f>
        <v>0</v>
      </c>
      <c r="O86" s="12">
        <f>VLOOKUP(B86,'[1]附件六-費用調查表(表一)'!$E$7:$AA$111,22,FALSE)</f>
        <v>25368</v>
      </c>
      <c r="P86" s="12">
        <f>VLOOKUP(B86,'[1]附件六-費用調查表(表一)'!$E$7:$AA$111,23,FALSE)</f>
        <v>38051</v>
      </c>
      <c r="Q86" s="13">
        <v>630</v>
      </c>
      <c r="R86" s="13">
        <f t="shared" si="9"/>
        <v>13260</v>
      </c>
      <c r="S86" s="36">
        <f t="shared" si="10"/>
        <v>77309</v>
      </c>
      <c r="T86" s="14">
        <f t="shared" si="12"/>
        <v>0</v>
      </c>
      <c r="U86" s="14">
        <f t="shared" si="11"/>
        <v>77309</v>
      </c>
    </row>
    <row r="87" spans="1:21" s="15" customFormat="1" ht="27.9" customHeight="1">
      <c r="A87" s="4">
        <v>83</v>
      </c>
      <c r="B87" s="5" t="s">
        <v>105</v>
      </c>
      <c r="C87" s="6">
        <f>VLOOKUP(B87,'[1]附件六-費用調查表(表一)'!$E$7:$AA$112,9,FALSE)</f>
        <v>18720</v>
      </c>
      <c r="D87" s="6">
        <f>VLOOKUP(B87,'[1]附件六-費用調查表(表一)'!$E$7:$AA$112,10,FALSE)</f>
        <v>15040</v>
      </c>
      <c r="E87" s="6">
        <f>VLOOKUP(B87,'[1]附件六-費用調查表(表一)'!$E$7:$AA$112,11,FALSE)</f>
        <v>4320</v>
      </c>
      <c r="F87" s="6">
        <f>VLOOKUP(B87,'[1]附件六-費用調查表(表一)'!$E$7:$AA$112,13,FALSE)</f>
        <v>1190</v>
      </c>
      <c r="G87" s="6">
        <f>VLOOKUP(B87,'[1]附件六-費用調查表(表一)'!$E$7:$AA$112,14,FALSE)</f>
        <v>0</v>
      </c>
      <c r="H87" s="6">
        <f>VLOOKUP(B87,'[1]附件六-費用調查表(表一)'!$E$7:$AA$112,15,FALSE)</f>
        <v>0</v>
      </c>
      <c r="I87" s="7">
        <f t="shared" si="8"/>
        <v>39270</v>
      </c>
      <c r="J87" s="8">
        <f>VLOOKUP(B87,'[1]附件六-費用調查表(表一)'!$E$7:$AA$111,17,FALSE)</f>
        <v>0</v>
      </c>
      <c r="K87" s="9"/>
      <c r="L87" s="10">
        <v>0</v>
      </c>
      <c r="M87" s="11">
        <f>VLOOKUP('107學年度第2學期經費核定表'!B87,'[1]附件六-費用調查表(表一)'!$E$7:$AA$111,21,FALSE)</f>
        <v>3240</v>
      </c>
      <c r="N87" s="12">
        <f>VLOOKUP(B87,'[1]附件六-費用調查表(表一)'!$E$7:$AA$111,18,FALSE)</f>
        <v>0</v>
      </c>
      <c r="O87" s="12">
        <f>VLOOKUP(B87,'[1]附件六-費用調查表(表一)'!$E$7:$AA$111,22,FALSE)</f>
        <v>12684</v>
      </c>
      <c r="P87" s="12">
        <f>VLOOKUP(B87,'[1]附件六-費用調查表(表一)'!$E$7:$AA$111,23,FALSE)</f>
        <v>19026</v>
      </c>
      <c r="Q87" s="13">
        <v>480</v>
      </c>
      <c r="R87" s="13">
        <f t="shared" si="9"/>
        <v>4320</v>
      </c>
      <c r="S87" s="36">
        <f t="shared" si="10"/>
        <v>39750</v>
      </c>
      <c r="T87" s="14">
        <f t="shared" si="12"/>
        <v>0</v>
      </c>
      <c r="U87" s="14">
        <f t="shared" si="11"/>
        <v>39750</v>
      </c>
    </row>
    <row r="88" spans="1:21" s="15" customFormat="1" ht="27.9" customHeight="1">
      <c r="A88" s="4">
        <v>84</v>
      </c>
      <c r="B88" s="5" t="s">
        <v>106</v>
      </c>
      <c r="C88" s="6">
        <f>VLOOKUP(B88,'[1]附件六-費用調查表(表一)'!$E$7:$AA$112,9,FALSE)</f>
        <v>28080</v>
      </c>
      <c r="D88" s="6">
        <f>VLOOKUP(B88,'[1]附件六-費用調查表(表一)'!$E$7:$AA$112,10,FALSE)</f>
        <v>0</v>
      </c>
      <c r="E88" s="6">
        <f>VLOOKUP(B88,'[1]附件六-費用調查表(表一)'!$E$7:$AA$112,11,FALSE)</f>
        <v>6480</v>
      </c>
      <c r="F88" s="6">
        <f>VLOOKUP(B88,'[1]附件六-費用調查表(表一)'!$E$7:$AA$112,13,FALSE)</f>
        <v>1080</v>
      </c>
      <c r="G88" s="6">
        <f>VLOOKUP(B88,'[1]附件六-費用調查表(表一)'!$E$7:$AA$112,14,FALSE)</f>
        <v>2000</v>
      </c>
      <c r="H88" s="6">
        <f>VLOOKUP(B88,'[1]附件六-費用調查表(表一)'!$E$7:$AA$112,15,FALSE)</f>
        <v>2000</v>
      </c>
      <c r="I88" s="7">
        <f t="shared" si="8"/>
        <v>39640</v>
      </c>
      <c r="J88" s="8">
        <f>VLOOKUP(B88,'[1]附件六-費用調查表(表一)'!$E$7:$AA$111,17,FALSE)</f>
        <v>0</v>
      </c>
      <c r="K88" s="9"/>
      <c r="L88" s="10">
        <v>0</v>
      </c>
      <c r="M88" s="11">
        <f>VLOOKUP('107學年度第2學期經費核定表'!B88,'[1]附件六-費用調查表(表一)'!$E$7:$AA$111,21,FALSE)</f>
        <v>0</v>
      </c>
      <c r="N88" s="12">
        <f>VLOOKUP(B88,'[1]附件六-費用調查表(表一)'!$E$7:$AA$111,18,FALSE)</f>
        <v>0</v>
      </c>
      <c r="O88" s="12">
        <f>VLOOKUP(B88,'[1]附件六-費用調查表(表一)'!$E$7:$AA$111,22,FALSE)</f>
        <v>13264</v>
      </c>
      <c r="P88" s="12">
        <f>VLOOKUP(B88,'[1]附件六-費用調查表(表一)'!$E$7:$AA$111,23,FALSE)</f>
        <v>19896</v>
      </c>
      <c r="Q88" s="13">
        <v>0</v>
      </c>
      <c r="R88" s="13">
        <f t="shared" si="9"/>
        <v>6480</v>
      </c>
      <c r="S88" s="36">
        <f t="shared" si="10"/>
        <v>39640</v>
      </c>
      <c r="T88" s="14">
        <f t="shared" si="12"/>
        <v>0</v>
      </c>
      <c r="U88" s="14">
        <f t="shared" si="11"/>
        <v>39640</v>
      </c>
    </row>
    <row r="89" spans="1:21" s="15" customFormat="1" ht="27.9" customHeight="1">
      <c r="A89" s="4">
        <v>85</v>
      </c>
      <c r="B89" s="5" t="s">
        <v>107</v>
      </c>
      <c r="C89" s="6">
        <f>VLOOKUP(B89,'[1]附件六-費用調查表(表一)'!$E$7:$AA$112,9,FALSE)</f>
        <v>18720</v>
      </c>
      <c r="D89" s="6">
        <f>VLOOKUP(B89,'[1]附件六-費用調查表(表一)'!$E$7:$AA$112,10,FALSE)</f>
        <v>0</v>
      </c>
      <c r="E89" s="6">
        <f>VLOOKUP(B89,'[1]附件六-費用調查表(表一)'!$E$7:$AA$112,11,FALSE)</f>
        <v>4320</v>
      </c>
      <c r="F89" s="6">
        <f>VLOOKUP(B89,'[1]附件六-費用調查表(表一)'!$E$7:$AA$112,13,FALSE)</f>
        <v>720</v>
      </c>
      <c r="G89" s="6">
        <f>VLOOKUP(B89,'[1]附件六-費用調查表(表一)'!$E$7:$AA$112,14,FALSE)</f>
        <v>0</v>
      </c>
      <c r="H89" s="6">
        <f>VLOOKUP(B89,'[1]附件六-費用調查表(表一)'!$E$7:$AA$112,15,FALSE)</f>
        <v>0</v>
      </c>
      <c r="I89" s="7">
        <f t="shared" si="8"/>
        <v>23760</v>
      </c>
      <c r="J89" s="8">
        <f>VLOOKUP(B89,'[1]附件六-費用調查表(表一)'!$E$7:$AA$111,17,FALSE)</f>
        <v>0</v>
      </c>
      <c r="K89" s="9"/>
      <c r="L89" s="10">
        <v>0</v>
      </c>
      <c r="M89" s="11">
        <f>VLOOKUP('107學年度第2學期經費核定表'!B89,'[1]附件六-費用調查表(表一)'!$E$7:$AA$111,21,FALSE)</f>
        <v>0</v>
      </c>
      <c r="N89" s="12">
        <f>VLOOKUP(B89,'[1]附件六-費用調查表(表一)'!$E$7:$AA$111,18,FALSE)</f>
        <v>0</v>
      </c>
      <c r="O89" s="12">
        <f>VLOOKUP(B89,'[1]附件六-費用調查表(表一)'!$E$7:$AA$111,22,FALSE)</f>
        <v>7776</v>
      </c>
      <c r="P89" s="12">
        <f>VLOOKUP(B89,'[1]附件六-費用調查表(表一)'!$E$7:$AA$111,23,FALSE)</f>
        <v>11664</v>
      </c>
      <c r="Q89" s="13">
        <v>240</v>
      </c>
      <c r="R89" s="13">
        <f t="shared" si="9"/>
        <v>4320</v>
      </c>
      <c r="S89" s="36">
        <f t="shared" si="10"/>
        <v>24000</v>
      </c>
      <c r="T89" s="14">
        <f t="shared" si="12"/>
        <v>0</v>
      </c>
      <c r="U89" s="14">
        <f t="shared" si="11"/>
        <v>24000</v>
      </c>
    </row>
    <row r="90" spans="1:21" s="15" customFormat="1" ht="27.9" customHeight="1">
      <c r="A90" s="4">
        <v>86</v>
      </c>
      <c r="B90" s="5" t="s">
        <v>108</v>
      </c>
      <c r="C90" s="6">
        <f>VLOOKUP(B90,'[1]附件六-費用調查表(表一)'!$E$7:$AA$112,9,FALSE)</f>
        <v>32760</v>
      </c>
      <c r="D90" s="6">
        <f>VLOOKUP(B90,'[1]附件六-費用調查表(表一)'!$E$7:$AA$112,10,FALSE)</f>
        <v>11520</v>
      </c>
      <c r="E90" s="6">
        <f>VLOOKUP(B90,'[1]附件六-費用調查表(表一)'!$E$7:$AA$112,11,FALSE)</f>
        <v>7560</v>
      </c>
      <c r="F90" s="6">
        <f>VLOOKUP(B90,'[1]附件六-費用調查表(表一)'!$E$7:$AA$112,13,FALSE)</f>
        <v>1620</v>
      </c>
      <c r="G90" s="6">
        <f>VLOOKUP(B90,'[1]附件六-費用調查表(表一)'!$E$7:$AA$112,14,FALSE)</f>
        <v>0</v>
      </c>
      <c r="H90" s="6">
        <f>VLOOKUP(B90,'[1]附件六-費用調查表(表一)'!$E$7:$AA$112,15,FALSE)</f>
        <v>0</v>
      </c>
      <c r="I90" s="7">
        <f t="shared" si="8"/>
        <v>53460</v>
      </c>
      <c r="J90" s="8">
        <f>VLOOKUP(B90,'[1]附件六-費用調查表(表一)'!$E$7:$AA$111,17,FALSE)</f>
        <v>9780</v>
      </c>
      <c r="K90" s="9"/>
      <c r="L90" s="10">
        <v>0</v>
      </c>
      <c r="M90" s="11">
        <f>VLOOKUP('107學年度第2學期經費核定表'!B90,'[1]附件六-費用調查表(表一)'!$E$7:$AA$111,21,FALSE)</f>
        <v>0</v>
      </c>
      <c r="N90" s="12">
        <f>VLOOKUP(B90,'[1]附件六-費用調查表(表一)'!$E$7:$AA$111,18,FALSE)</f>
        <v>0</v>
      </c>
      <c r="O90" s="12">
        <f>VLOOKUP(B90,'[1]附件六-費用調查表(表一)'!$E$7:$AA$111,22,FALSE)</f>
        <v>18360</v>
      </c>
      <c r="P90" s="12">
        <f>VLOOKUP(B90,'[1]附件六-費用調查表(表一)'!$E$7:$AA$111,23,FALSE)</f>
        <v>27540</v>
      </c>
      <c r="Q90" s="13">
        <v>0</v>
      </c>
      <c r="R90" s="13">
        <f t="shared" si="9"/>
        <v>7560</v>
      </c>
      <c r="S90" s="36">
        <f t="shared" si="10"/>
        <v>43680</v>
      </c>
      <c r="T90" s="14">
        <f t="shared" si="12"/>
        <v>0</v>
      </c>
      <c r="U90" s="14">
        <f t="shared" si="11"/>
        <v>43680</v>
      </c>
    </row>
    <row r="91" spans="1:21" s="15" customFormat="1" ht="27.9" customHeight="1">
      <c r="A91" s="4">
        <v>87</v>
      </c>
      <c r="B91" s="5" t="s">
        <v>109</v>
      </c>
      <c r="C91" s="6">
        <f>VLOOKUP(B91,'[1]附件六-費用調查表(表一)'!$E$7:$AA$112,9,FALSE)</f>
        <v>15600</v>
      </c>
      <c r="D91" s="6">
        <f>VLOOKUP(B91,'[1]附件六-費用調查表(表一)'!$E$7:$AA$112,10,FALSE)</f>
        <v>20160</v>
      </c>
      <c r="E91" s="6">
        <f>VLOOKUP(B91,'[1]附件六-費用調查表(表一)'!$E$7:$AA$112,11,FALSE)</f>
        <v>3600</v>
      </c>
      <c r="F91" s="6">
        <f>VLOOKUP(B91,'[1]附件六-費用調查表(表一)'!$E$7:$AA$112,13,FALSE)</f>
        <v>1230</v>
      </c>
      <c r="G91" s="6">
        <f>VLOOKUP(B91,'[1]附件六-費用調查表(表一)'!$E$7:$AA$112,14,FALSE)</f>
        <v>0</v>
      </c>
      <c r="H91" s="6">
        <f>VLOOKUP(B91,'[1]附件六-費用調查表(表一)'!$E$7:$AA$112,15,FALSE)</f>
        <v>0</v>
      </c>
      <c r="I91" s="7">
        <f t="shared" si="8"/>
        <v>40590</v>
      </c>
      <c r="J91" s="8">
        <f>VLOOKUP(B91,'[1]附件六-費用調查表(表一)'!$E$7:$AA$111,17,FALSE)</f>
        <v>0</v>
      </c>
      <c r="K91" s="9"/>
      <c r="L91" s="10">
        <v>0</v>
      </c>
      <c r="M91" s="11">
        <f>VLOOKUP('107學年度第2學期經費核定表'!B91,'[1]附件六-費用調查表(表一)'!$E$7:$AA$111,21,FALSE)</f>
        <v>0</v>
      </c>
      <c r="N91" s="12">
        <f>VLOOKUP(B91,'[1]附件六-費用調查表(表一)'!$E$7:$AA$111,18,FALSE)</f>
        <v>0</v>
      </c>
      <c r="O91" s="12">
        <f>VLOOKUP(B91,'[1]附件六-費用調查表(表一)'!$E$7:$AA$111,22,FALSE)</f>
        <v>14796</v>
      </c>
      <c r="P91" s="12">
        <f>VLOOKUP(B91,'[1]附件六-費用調查表(表一)'!$E$7:$AA$111,23,FALSE)</f>
        <v>22194</v>
      </c>
      <c r="Q91" s="13">
        <v>0</v>
      </c>
      <c r="R91" s="13">
        <f t="shared" si="9"/>
        <v>3600</v>
      </c>
      <c r="S91" s="36">
        <f t="shared" si="10"/>
        <v>40590</v>
      </c>
      <c r="T91" s="14">
        <f t="shared" si="12"/>
        <v>0</v>
      </c>
      <c r="U91" s="14">
        <f t="shared" si="11"/>
        <v>40590</v>
      </c>
    </row>
    <row r="92" spans="1:21" s="15" customFormat="1" ht="27.9" customHeight="1">
      <c r="A92" s="4">
        <v>88</v>
      </c>
      <c r="B92" s="5" t="s">
        <v>110</v>
      </c>
      <c r="C92" s="6">
        <f>VLOOKUP(B92,'[1]附件六-費用調查表(表一)'!$E$7:$AA$112,9,FALSE)</f>
        <v>11700</v>
      </c>
      <c r="D92" s="6">
        <f>VLOOKUP(B92,'[1]附件六-費用調查表(表一)'!$E$7:$AA$112,10,FALSE)</f>
        <v>24000</v>
      </c>
      <c r="E92" s="6">
        <f>VLOOKUP(B92,'[1]附件六-費用調查表(表一)'!$E$7:$AA$112,11,FALSE)</f>
        <v>2700</v>
      </c>
      <c r="F92" s="6">
        <f>VLOOKUP(B92,'[1]附件六-費用調查表(表一)'!$E$7:$AA$112,13,FALSE)</f>
        <v>1200</v>
      </c>
      <c r="G92" s="6">
        <f>VLOOKUP(B92,'[1]附件六-費用調查表(表一)'!$E$7:$AA$112,14,FALSE)</f>
        <v>0</v>
      </c>
      <c r="H92" s="6">
        <f>VLOOKUP(B92,'[1]附件六-費用調查表(表一)'!$E$7:$AA$112,15,FALSE)</f>
        <v>0</v>
      </c>
      <c r="I92" s="7">
        <f t="shared" si="8"/>
        <v>39600</v>
      </c>
      <c r="J92" s="8">
        <f>VLOOKUP(B92,'[1]附件六-費用調查表(表一)'!$E$7:$AA$111,17,FALSE)</f>
        <v>300</v>
      </c>
      <c r="K92" s="9"/>
      <c r="L92" s="10">
        <v>0</v>
      </c>
      <c r="M92" s="11">
        <f>VLOOKUP('107學年度第2學期經費核定表'!B92,'[1]附件六-費用調查表(表一)'!$E$7:$AA$111,21,FALSE)</f>
        <v>0</v>
      </c>
      <c r="N92" s="12">
        <f>VLOOKUP(B92,'[1]附件六-費用調查表(表一)'!$E$7:$AA$111,18,FALSE)</f>
        <v>0</v>
      </c>
      <c r="O92" s="12">
        <f>VLOOKUP(B92,'[1]附件六-費用調查表(表一)'!$E$7:$AA$111,22,FALSE)</f>
        <v>14760</v>
      </c>
      <c r="P92" s="12">
        <f>VLOOKUP(B92,'[1]附件六-費用調查表(表一)'!$E$7:$AA$111,23,FALSE)</f>
        <v>22140</v>
      </c>
      <c r="Q92" s="13">
        <v>0</v>
      </c>
      <c r="R92" s="13">
        <f t="shared" si="9"/>
        <v>2700</v>
      </c>
      <c r="S92" s="36">
        <f t="shared" si="10"/>
        <v>39300</v>
      </c>
      <c r="T92" s="14">
        <f t="shared" si="12"/>
        <v>0</v>
      </c>
      <c r="U92" s="14">
        <f t="shared" si="11"/>
        <v>39300</v>
      </c>
    </row>
    <row r="93" spans="1:21" s="15" customFormat="1" ht="27.9" customHeight="1">
      <c r="A93" s="4">
        <v>89</v>
      </c>
      <c r="B93" s="5" t="s">
        <v>111</v>
      </c>
      <c r="C93" s="6">
        <f>VLOOKUP(B93,'[1]附件六-費用調查表(表一)'!$E$7:$AA$112,9,FALSE)</f>
        <v>21840</v>
      </c>
      <c r="D93" s="6">
        <f>VLOOKUP(B93,'[1]附件六-費用調查表(表一)'!$E$7:$AA$112,10,FALSE)</f>
        <v>22400</v>
      </c>
      <c r="E93" s="6">
        <f>VLOOKUP(B93,'[1]附件六-費用調查表(表一)'!$E$7:$AA$112,11,FALSE)</f>
        <v>5040</v>
      </c>
      <c r="F93" s="6">
        <f>VLOOKUP(B93,'[1]附件六-費用調查表(表一)'!$E$7:$AA$112,13,FALSE)</f>
        <v>1540</v>
      </c>
      <c r="G93" s="6">
        <f>VLOOKUP(B93,'[1]附件六-費用調查表(表一)'!$E$7:$AA$112,14,FALSE)</f>
        <v>0</v>
      </c>
      <c r="H93" s="6">
        <f>VLOOKUP(B93,'[1]附件六-費用調查表(表一)'!$E$7:$AA$112,15,FALSE)</f>
        <v>0</v>
      </c>
      <c r="I93" s="7">
        <f t="shared" si="8"/>
        <v>50820</v>
      </c>
      <c r="J93" s="8">
        <f>VLOOKUP(B93,'[1]附件六-費用調查表(表一)'!$E$7:$AA$111,17,FALSE)</f>
        <v>749</v>
      </c>
      <c r="K93" s="9"/>
      <c r="L93" s="10">
        <v>0</v>
      </c>
      <c r="M93" s="11">
        <f>VLOOKUP('107學年度第2學期經費核定表'!B93,'[1]附件六-費用調查表(表一)'!$E$7:$AA$111,21,FALSE)</f>
        <v>0</v>
      </c>
      <c r="N93" s="12">
        <f>VLOOKUP(B93,'[1]附件六-費用調查表(表一)'!$E$7:$AA$111,18,FALSE)</f>
        <v>0</v>
      </c>
      <c r="O93" s="12">
        <f>VLOOKUP(B93,'[1]附件六-費用調查表(表一)'!$E$7:$AA$111,22,FALSE)</f>
        <v>18312</v>
      </c>
      <c r="P93" s="12">
        <f>VLOOKUP(B93,'[1]附件六-費用調查表(表一)'!$E$7:$AA$111,23,FALSE)</f>
        <v>27468</v>
      </c>
      <c r="Q93" s="13">
        <v>0</v>
      </c>
      <c r="R93" s="13">
        <f t="shared" si="9"/>
        <v>5040</v>
      </c>
      <c r="S93" s="36">
        <f t="shared" si="10"/>
        <v>50071</v>
      </c>
      <c r="T93" s="14">
        <f t="shared" si="12"/>
        <v>0</v>
      </c>
      <c r="U93" s="14">
        <f t="shared" si="11"/>
        <v>50071</v>
      </c>
    </row>
    <row r="94" spans="1:21" s="15" customFormat="1" ht="27.9" customHeight="1">
      <c r="A94" s="4">
        <v>90</v>
      </c>
      <c r="B94" s="5" t="s">
        <v>112</v>
      </c>
      <c r="C94" s="6">
        <f>VLOOKUP(B94,'[1]附件六-費用調查表(表一)'!$E$7:$AA$112,9,FALSE)</f>
        <v>42120</v>
      </c>
      <c r="D94" s="6">
        <f>VLOOKUP(B94,'[1]附件六-費用調查表(表一)'!$E$7:$AA$112,10,FALSE)</f>
        <v>23040</v>
      </c>
      <c r="E94" s="6">
        <f>VLOOKUP(B94,'[1]附件六-費用調查表(表一)'!$E$7:$AA$112,11,FALSE)</f>
        <v>9720</v>
      </c>
      <c r="F94" s="6">
        <f>VLOOKUP(B94,'[1]附件六-費用調查表(表一)'!$E$7:$AA$112,13,FALSE)</f>
        <v>2340</v>
      </c>
      <c r="G94" s="6">
        <f>VLOOKUP(B94,'[1]附件六-費用調查表(表一)'!$E$7:$AA$112,14,FALSE)</f>
        <v>0</v>
      </c>
      <c r="H94" s="6">
        <f>VLOOKUP(B94,'[1]附件六-費用調查表(表一)'!$E$7:$AA$112,15,FALSE)</f>
        <v>0</v>
      </c>
      <c r="I94" s="7">
        <f t="shared" si="8"/>
        <v>77220</v>
      </c>
      <c r="J94" s="8">
        <f>VLOOKUP(B94,'[1]附件六-費用調查表(表一)'!$E$7:$AA$111,17,FALSE)</f>
        <v>0</v>
      </c>
      <c r="K94" s="9"/>
      <c r="L94" s="10">
        <v>0</v>
      </c>
      <c r="M94" s="11">
        <f>VLOOKUP('107學年度第2學期經費核定表'!B94,'[1]附件六-費用調查表(表一)'!$E$7:$AA$111,21,FALSE)</f>
        <v>0</v>
      </c>
      <c r="N94" s="12">
        <f>VLOOKUP(B94,'[1]附件六-費用調查表(表一)'!$E$7:$AA$111,18,FALSE)</f>
        <v>0</v>
      </c>
      <c r="O94" s="12">
        <f>VLOOKUP(B94,'[1]附件六-費用調查表(表一)'!$E$7:$AA$111,22,FALSE)</f>
        <v>27000</v>
      </c>
      <c r="P94" s="12">
        <f>VLOOKUP(B94,'[1]附件六-費用調查表(表一)'!$E$7:$AA$111,23,FALSE)</f>
        <v>40500</v>
      </c>
      <c r="Q94" s="13">
        <v>1260</v>
      </c>
      <c r="R94" s="13">
        <f t="shared" si="9"/>
        <v>9720</v>
      </c>
      <c r="S94" s="36">
        <f t="shared" si="10"/>
        <v>78480</v>
      </c>
      <c r="T94" s="14">
        <f t="shared" si="12"/>
        <v>0</v>
      </c>
      <c r="U94" s="14">
        <f t="shared" si="11"/>
        <v>78480</v>
      </c>
    </row>
    <row r="95" spans="1:21" s="15" customFormat="1" ht="27.9" customHeight="1">
      <c r="A95" s="4">
        <v>91</v>
      </c>
      <c r="B95" s="5" t="s">
        <v>113</v>
      </c>
      <c r="C95" s="6">
        <f>VLOOKUP(B95,'[1]附件六-費用調查表(表一)'!$E$7:$AA$112,9,FALSE)</f>
        <v>37440</v>
      </c>
      <c r="D95" s="6">
        <f>VLOOKUP(B95,'[1]附件六-費用調查表(表一)'!$E$7:$AA$112,10,FALSE)</f>
        <v>5760</v>
      </c>
      <c r="E95" s="6">
        <f>VLOOKUP(B95,'[1]附件六-費用調查表(表一)'!$E$7:$AA$112,11,FALSE)</f>
        <v>8640</v>
      </c>
      <c r="F95" s="6">
        <f>VLOOKUP(B95,'[1]附件六-費用調查表(表一)'!$E$7:$AA$112,13,FALSE)</f>
        <v>1620</v>
      </c>
      <c r="G95" s="6">
        <f>VLOOKUP(B95,'[1]附件六-費用調查表(表一)'!$E$7:$AA$112,14,FALSE)</f>
        <v>0</v>
      </c>
      <c r="H95" s="6">
        <f>VLOOKUP(B95,'[1]附件六-費用調查表(表一)'!$E$7:$AA$112,15,FALSE)</f>
        <v>0</v>
      </c>
      <c r="I95" s="7">
        <f t="shared" si="8"/>
        <v>53460</v>
      </c>
      <c r="J95" s="8">
        <f>VLOOKUP(B95,'[1]附件六-費用調查表(表一)'!$E$7:$AA$111,17,FALSE)</f>
        <v>180</v>
      </c>
      <c r="K95" s="9"/>
      <c r="L95" s="10">
        <v>0</v>
      </c>
      <c r="M95" s="11">
        <f>VLOOKUP('107學年度第2學期經費核定表'!B95,'[1]附件六-費用調查表(表一)'!$E$7:$AA$111,21,FALSE)</f>
        <v>0</v>
      </c>
      <c r="N95" s="12">
        <f>VLOOKUP(B95,'[1]附件六-費用調查表(表一)'!$E$7:$AA$111,18,FALSE)</f>
        <v>0</v>
      </c>
      <c r="O95" s="12">
        <f>VLOOKUP(B95,'[1]附件六-費用調查表(表一)'!$E$7:$AA$111,22,FALSE)</f>
        <v>17928</v>
      </c>
      <c r="P95" s="12">
        <f>VLOOKUP(B95,'[1]附件六-費用調查表(表一)'!$E$7:$AA$111,23,FALSE)</f>
        <v>26892</v>
      </c>
      <c r="Q95" s="13">
        <v>0</v>
      </c>
      <c r="R95" s="13">
        <f t="shared" si="9"/>
        <v>8640</v>
      </c>
      <c r="S95" s="36">
        <f t="shared" si="10"/>
        <v>53280</v>
      </c>
      <c r="T95" s="14">
        <f t="shared" si="12"/>
        <v>0</v>
      </c>
      <c r="U95" s="14">
        <f t="shared" si="11"/>
        <v>53280</v>
      </c>
    </row>
    <row r="96" spans="1:21" s="15" customFormat="1" ht="27.9" customHeight="1">
      <c r="A96" s="4">
        <v>92</v>
      </c>
      <c r="B96" s="5" t="s">
        <v>114</v>
      </c>
      <c r="C96" s="6">
        <f>VLOOKUP(B96,'[1]附件六-費用調查表(表一)'!$E$7:$AA$112,9,FALSE)</f>
        <v>61880</v>
      </c>
      <c r="D96" s="6">
        <f>VLOOKUP(B96,'[1]附件六-費用調查表(表一)'!$E$7:$AA$112,10,FALSE)</f>
        <v>70720</v>
      </c>
      <c r="E96" s="6">
        <f>VLOOKUP(B96,'[1]附件六-費用調查表(表一)'!$E$7:$AA$112,11,FALSE)</f>
        <v>14280</v>
      </c>
      <c r="F96" s="6">
        <f>VLOOKUP(B96,'[1]附件六-費用調查表(表一)'!$E$7:$AA$112,13,FALSE)</f>
        <v>4590</v>
      </c>
      <c r="G96" s="6">
        <f>VLOOKUP(B96,'[1]附件六-費用調查表(表一)'!$E$7:$AA$112,14,FALSE)</f>
        <v>984</v>
      </c>
      <c r="H96" s="6">
        <f>VLOOKUP(B96,'[1]附件六-費用調查表(表一)'!$E$7:$AA$112,15,FALSE)</f>
        <v>754</v>
      </c>
      <c r="I96" s="7">
        <f t="shared" si="8"/>
        <v>153208</v>
      </c>
      <c r="J96" s="8">
        <f>VLOOKUP(B96,'[1]附件六-費用調查表(表一)'!$E$7:$AA$111,17,FALSE)</f>
        <v>5130</v>
      </c>
      <c r="K96" s="9"/>
      <c r="L96" s="10">
        <v>0</v>
      </c>
      <c r="M96" s="11">
        <f>VLOOKUP('107學年度第2學期經費核定表'!B96,'[1]附件六-費用調查表(表一)'!$E$7:$AA$111,21,FALSE)</f>
        <v>76125</v>
      </c>
      <c r="N96" s="12">
        <f>VLOOKUP(B96,'[1]附件六-費用調查表(表一)'!$E$7:$AA$111,18,FALSE)</f>
        <v>0</v>
      </c>
      <c r="O96" s="12">
        <f>VLOOKUP(B96,'[1]附件六-費用調查表(表一)'!$E$7:$AA$111,22,FALSE)</f>
        <v>25120</v>
      </c>
      <c r="P96" s="12">
        <f>37678+5</f>
        <v>37683</v>
      </c>
      <c r="Q96" s="13">
        <v>0</v>
      </c>
      <c r="R96" s="13">
        <f t="shared" si="9"/>
        <v>14280</v>
      </c>
      <c r="S96" s="36">
        <f t="shared" si="10"/>
        <v>148078</v>
      </c>
      <c r="T96" s="14">
        <f t="shared" si="12"/>
        <v>0</v>
      </c>
      <c r="U96" s="14">
        <f t="shared" si="11"/>
        <v>148078</v>
      </c>
    </row>
    <row r="97" spans="1:21" ht="27.9" customHeight="1">
      <c r="A97" s="4">
        <v>93</v>
      </c>
      <c r="B97" s="5" t="s">
        <v>115</v>
      </c>
      <c r="C97" s="6">
        <f>VLOOKUP(B97,'[1]附件六-費用調查表(表一)'!$E$7:$AA$112,9,FALSE)</f>
        <v>37440</v>
      </c>
      <c r="D97" s="6">
        <f>VLOOKUP(B97,'[1]附件六-費用調查表(表一)'!$E$7:$AA$112,10,FALSE)</f>
        <v>51840</v>
      </c>
      <c r="E97" s="6">
        <f>VLOOKUP(B97,'[1]附件六-費用調查表(表一)'!$E$7:$AA$112,11,FALSE)</f>
        <v>8640</v>
      </c>
      <c r="F97" s="6">
        <f>VLOOKUP(B97,'[1]附件六-費用調查表(表一)'!$E$7:$AA$112,13,FALSE)</f>
        <v>3060</v>
      </c>
      <c r="G97" s="6">
        <f>VLOOKUP(B97,'[1]附件六-費用調查表(表一)'!$E$7:$AA$112,14,FALSE)</f>
        <v>0</v>
      </c>
      <c r="H97" s="6">
        <f>VLOOKUP(B97,'[1]附件六-費用調查表(表一)'!$E$7:$AA$112,15,FALSE)</f>
        <v>0</v>
      </c>
      <c r="I97" s="7">
        <f t="shared" si="8"/>
        <v>100980</v>
      </c>
      <c r="J97" s="8">
        <f>VLOOKUP(B97,'[1]附件六-費用調查表(表一)'!$E$7:$AA$111,17,FALSE)</f>
        <v>0</v>
      </c>
      <c r="K97" s="9"/>
      <c r="L97" s="10">
        <v>0</v>
      </c>
      <c r="M97" s="11">
        <f>VLOOKUP('107學年度第2學期經費核定表'!B97,'[1]附件六-費用調查表(表一)'!$E$7:$AA$111,21,FALSE)</f>
        <v>34426</v>
      </c>
      <c r="N97" s="12">
        <f>VLOOKUP(B97,'[1]附件六-費用調查表(表一)'!$E$7:$AA$111,18,FALSE)</f>
        <v>0</v>
      </c>
      <c r="O97" s="12">
        <f>VLOOKUP(B97,'[1]附件六-費用調查表(表一)'!$E$7:$AA$111,22,FALSE)</f>
        <v>23165</v>
      </c>
      <c r="P97" s="12">
        <f>34747+2</f>
        <v>34749</v>
      </c>
      <c r="Q97" s="13">
        <v>780</v>
      </c>
      <c r="R97" s="13">
        <f t="shared" si="9"/>
        <v>8640</v>
      </c>
      <c r="S97" s="36">
        <f t="shared" si="10"/>
        <v>101760</v>
      </c>
      <c r="T97" s="14">
        <f t="shared" si="12"/>
        <v>0</v>
      </c>
      <c r="U97" s="14">
        <f t="shared" si="11"/>
        <v>101760</v>
      </c>
    </row>
    <row r="98" spans="1:21" ht="27.9" customHeight="1">
      <c r="A98" s="4">
        <v>94</v>
      </c>
      <c r="B98" s="5" t="s">
        <v>116</v>
      </c>
      <c r="C98" s="6">
        <f>VLOOKUP(B98,'[1]附件六-費用調查表(表一)'!$E$7:$AA$112,9,FALSE)</f>
        <v>177840</v>
      </c>
      <c r="D98" s="6">
        <f>VLOOKUP(B98,'[1]附件六-費用調查表(表一)'!$E$7:$AA$112,10,FALSE)</f>
        <v>167040</v>
      </c>
      <c r="E98" s="6">
        <f>VLOOKUP(B98,'[1]附件六-費用調查表(表一)'!$E$7:$AA$112,11,FALSE)</f>
        <v>41040</v>
      </c>
      <c r="F98" s="6">
        <f>VLOOKUP(B98,'[1]附件六-費用調查表(表一)'!$E$7:$AA$112,13,FALSE)</f>
        <v>12060</v>
      </c>
      <c r="G98" s="6">
        <f>VLOOKUP(B98,'[1]附件六-費用調查表(表一)'!$E$7:$AA$112,14,FALSE)</f>
        <v>26508</v>
      </c>
      <c r="H98" s="6">
        <f>VLOOKUP(B98,'[1]附件六-費用調查表(表一)'!$E$7:$AA$112,15,FALSE)</f>
        <v>13427</v>
      </c>
      <c r="I98" s="7">
        <f t="shared" si="8"/>
        <v>437915</v>
      </c>
      <c r="J98" s="8">
        <f>VLOOKUP(B98,'[1]附件六-費用調查表(表一)'!$E$7:$AA$111,17,FALSE)</f>
        <v>0</v>
      </c>
      <c r="K98" s="9">
        <v>98634</v>
      </c>
      <c r="L98" s="10">
        <v>185086</v>
      </c>
      <c r="M98" s="11">
        <f>VLOOKUP('107學年度第2學期經費核定表'!B98,'[1]附件六-費用調查表(表一)'!$E$7:$AA$111,21,FALSE)</f>
        <v>13520</v>
      </c>
      <c r="N98" s="12">
        <f>VLOOKUP(B98,'[1]附件六-費用調查表(表一)'!$E$7:$AA$111,18,FALSE)</f>
        <v>1485</v>
      </c>
      <c r="O98" s="12">
        <f>VLOOKUP(B98,'[1]附件六-費用調查表(表一)'!$E$7:$AA$111,22,FALSE)</f>
        <v>38365</v>
      </c>
      <c r="P98" s="12">
        <f>59774+11</f>
        <v>59785</v>
      </c>
      <c r="Q98" s="13">
        <v>4080</v>
      </c>
      <c r="R98" s="13">
        <f t="shared" si="9"/>
        <v>41040</v>
      </c>
      <c r="S98" s="36">
        <f t="shared" si="10"/>
        <v>341876</v>
      </c>
      <c r="T98" s="14">
        <f t="shared" si="12"/>
        <v>98634</v>
      </c>
      <c r="U98" s="14">
        <f t="shared" si="11"/>
        <v>440510</v>
      </c>
    </row>
    <row r="99" spans="1:21" ht="27.9" customHeight="1">
      <c r="A99" s="4">
        <v>95</v>
      </c>
      <c r="B99" s="5" t="s">
        <v>117</v>
      </c>
      <c r="C99" s="6">
        <f>VLOOKUP(B99,'[1]附件六-費用調查表(表一)'!$E$7:$AA$112,9,FALSE)</f>
        <v>37440</v>
      </c>
      <c r="D99" s="6">
        <f>VLOOKUP(B99,'[1]附件六-費用調查表(表一)'!$E$7:$AA$112,10,FALSE)</f>
        <v>69120</v>
      </c>
      <c r="E99" s="6">
        <f>VLOOKUP(B99,'[1]附件六-費用調查表(表一)'!$E$7:$AA$112,11,FALSE)</f>
        <v>8640</v>
      </c>
      <c r="F99" s="6">
        <f>VLOOKUP(B99,'[1]附件六-費用調查表(表一)'!$E$7:$AA$112,13,FALSE)</f>
        <v>3600</v>
      </c>
      <c r="G99" s="6">
        <f>VLOOKUP(B99,'[1]附件六-費用調查表(表一)'!$E$7:$AA$112,14,FALSE)</f>
        <v>0</v>
      </c>
      <c r="H99" s="6">
        <f>VLOOKUP(B99,'[1]附件六-費用調查表(表一)'!$E$7:$AA$112,15,FALSE)</f>
        <v>0</v>
      </c>
      <c r="I99" s="7">
        <f t="shared" si="8"/>
        <v>118800</v>
      </c>
      <c r="J99" s="8">
        <f>VLOOKUP(B99,'[1]附件六-費用調查表(表一)'!$E$7:$AA$111,17,FALSE)</f>
        <v>0</v>
      </c>
      <c r="K99" s="9"/>
      <c r="L99" s="10">
        <v>0</v>
      </c>
      <c r="M99" s="11">
        <f>VLOOKUP('107學年度第2學期經費核定表'!B99,'[1]附件六-費用調查表(表一)'!$E$7:$AA$111,21,FALSE)</f>
        <v>51455</v>
      </c>
      <c r="N99" s="12">
        <f>VLOOKUP(B99,'[1]附件六-費用調查表(表一)'!$E$7:$AA$111,18,FALSE)</f>
        <v>0</v>
      </c>
      <c r="O99" s="12">
        <f>23482</f>
        <v>23482</v>
      </c>
      <c r="P99" s="12">
        <f>35221+2</f>
        <v>35223</v>
      </c>
      <c r="Q99" s="13">
        <v>5000</v>
      </c>
      <c r="R99" s="13">
        <f t="shared" si="9"/>
        <v>8640</v>
      </c>
      <c r="S99" s="36">
        <f t="shared" si="10"/>
        <v>123800</v>
      </c>
      <c r="T99" s="14">
        <f t="shared" si="12"/>
        <v>0</v>
      </c>
      <c r="U99" s="14">
        <f t="shared" si="11"/>
        <v>123800</v>
      </c>
    </row>
    <row r="100" spans="1:21" ht="27.9" customHeight="1">
      <c r="A100" s="4">
        <v>96</v>
      </c>
      <c r="B100" s="5" t="s">
        <v>118</v>
      </c>
      <c r="C100" s="6">
        <f>VLOOKUP(B100,'[1]附件六-費用調查表(表一)'!$E$7:$AA$112,9,FALSE)</f>
        <v>234000</v>
      </c>
      <c r="D100" s="6">
        <f>VLOOKUP(B100,'[1]附件六-費用調查表(表一)'!$E$7:$AA$112,10,FALSE)</f>
        <v>403200</v>
      </c>
      <c r="E100" s="6">
        <f>VLOOKUP(B100,'[1]附件六-費用調查表(表一)'!$E$7:$AA$112,11,FALSE)</f>
        <v>54000</v>
      </c>
      <c r="F100" s="6">
        <f>VLOOKUP(B100,'[1]附件六-費用調查表(表一)'!$E$7:$AA$112,13,FALSE)</f>
        <v>21600</v>
      </c>
      <c r="G100" s="6">
        <f>VLOOKUP(B100,'[1]附件六-費用調查表(表一)'!$E$7:$AA$112,14,FALSE)</f>
        <v>28800</v>
      </c>
      <c r="H100" s="6">
        <f>VLOOKUP(B100,'[1]附件六-費用調查表(表一)'!$E$7:$AA$112,15,FALSE)</f>
        <v>38400</v>
      </c>
      <c r="I100" s="7">
        <f t="shared" si="8"/>
        <v>780000</v>
      </c>
      <c r="J100" s="8">
        <f>VLOOKUP(B100,'[1]附件六-費用調查表(表一)'!$E$7:$AA$111,17,FALSE)</f>
        <v>0</v>
      </c>
      <c r="K100" s="9"/>
      <c r="L100" s="10">
        <v>726000</v>
      </c>
      <c r="M100" s="11">
        <f>VLOOKUP('107學年度第2學期經費核定表'!B100,'[1]附件六-費用調查表(表一)'!$E$7:$AA$111,21,FALSE)</f>
        <v>0</v>
      </c>
      <c r="N100" s="12">
        <f>VLOOKUP(B100,'[1]附件六-費用調查表(表一)'!$E$7:$AA$111,18,FALSE)</f>
        <v>0</v>
      </c>
      <c r="O100" s="12">
        <f>VLOOKUP(B100,'[1]附件六-費用調查表(表一)'!$E$7:$AA$111,22,FALSE)</f>
        <v>0</v>
      </c>
      <c r="P100" s="12">
        <f>VLOOKUP(B100,'[1]附件六-費用調查表(表一)'!$E$7:$AA$111,23,FALSE)</f>
        <v>0</v>
      </c>
      <c r="Q100" s="13">
        <v>6600</v>
      </c>
      <c r="R100" s="13">
        <f t="shared" si="9"/>
        <v>54000</v>
      </c>
      <c r="S100" s="36">
        <f t="shared" si="10"/>
        <v>786600</v>
      </c>
      <c r="T100" s="14">
        <f t="shared" si="12"/>
        <v>0</v>
      </c>
      <c r="U100" s="14">
        <f t="shared" si="11"/>
        <v>786600</v>
      </c>
    </row>
    <row r="101" spans="1:21" ht="27.9" customHeight="1">
      <c r="A101" s="4">
        <v>97</v>
      </c>
      <c r="B101" s="5" t="s">
        <v>119</v>
      </c>
      <c r="C101" s="6">
        <f>VLOOKUP(B101,'[1]附件六-費用調查表(表一)'!$E$7:$AA$112,9,FALSE)</f>
        <v>0</v>
      </c>
      <c r="D101" s="6">
        <f>VLOOKUP(B101,'[1]附件六-費用調查表(表一)'!$E$7:$AA$112,10,FALSE)</f>
        <v>414720</v>
      </c>
      <c r="E101" s="6">
        <f>VLOOKUP(B101,'[1]附件六-費用調查表(表一)'!$E$7:$AA$112,11,FALSE)</f>
        <v>0</v>
      </c>
      <c r="F101" s="6">
        <f>VLOOKUP(B101,'[1]附件六-費用調查表(表一)'!$E$7:$AA$112,13,FALSE)</f>
        <v>12960</v>
      </c>
      <c r="G101" s="6">
        <f>VLOOKUP(B101,'[1]附件六-費用調查表(表一)'!$E$7:$AA$112,14,FALSE)</f>
        <v>0</v>
      </c>
      <c r="H101" s="6">
        <f>VLOOKUP(B101,'[1]附件六-費用調查表(表一)'!$E$7:$AA$112,15,FALSE)</f>
        <v>0</v>
      </c>
      <c r="I101" s="7">
        <f t="shared" ref="I101:I102" si="13">SUM(C101:H101)</f>
        <v>427680</v>
      </c>
      <c r="J101" s="8">
        <f>VLOOKUP(B101,'[1]附件六-費用調查表(表一)'!$E$7:$AA$111,17,FALSE)</f>
        <v>0</v>
      </c>
      <c r="K101" s="9"/>
      <c r="L101" s="10">
        <v>427680</v>
      </c>
      <c r="M101" s="11">
        <f>VLOOKUP('107學年度第2學期經費核定表'!B101,'[1]附件六-費用調查表(表一)'!$E$7:$AA$111,21,FALSE)</f>
        <v>0</v>
      </c>
      <c r="N101" s="12">
        <f>VLOOKUP(B101,'[1]附件六-費用調查表(表一)'!$E$7:$AA$111,18,FALSE)</f>
        <v>0</v>
      </c>
      <c r="O101" s="12">
        <f>VLOOKUP(B101,'[1]附件六-費用調查表(表一)'!$E$7:$AA$111,22,FALSE)</f>
        <v>0</v>
      </c>
      <c r="P101" s="12">
        <f>VLOOKUP(B101,'[1]附件六-費用調查表(表一)'!$E$7:$AA$111,23,FALSE)</f>
        <v>0</v>
      </c>
      <c r="Q101" s="13">
        <v>0</v>
      </c>
      <c r="R101" s="13">
        <f t="shared" si="9"/>
        <v>0</v>
      </c>
      <c r="S101" s="36">
        <f t="shared" si="10"/>
        <v>427680</v>
      </c>
      <c r="T101" s="14">
        <f t="shared" si="12"/>
        <v>0</v>
      </c>
      <c r="U101" s="14">
        <f t="shared" si="11"/>
        <v>427680</v>
      </c>
    </row>
    <row r="102" spans="1:21" ht="27.9" customHeight="1">
      <c r="A102" s="4">
        <v>98</v>
      </c>
      <c r="B102" s="19" t="s">
        <v>120</v>
      </c>
      <c r="C102" s="6">
        <f>VLOOKUP(B102,'[1]附件六-費用調查表(表一)'!$E$7:$AA$112,9,FALSE)</f>
        <v>102960</v>
      </c>
      <c r="D102" s="6">
        <f>VLOOKUP(B102,'[1]附件六-費用調查表(表一)'!$E$7:$AA$112,10,FALSE)</f>
        <v>380160</v>
      </c>
      <c r="E102" s="6">
        <f>VLOOKUP(B102,'[1]附件六-費用調查表(表一)'!$E$7:$AA$112,11,FALSE)</f>
        <v>23760</v>
      </c>
      <c r="F102" s="20">
        <f>VLOOKUP(B102,'[1]附件六-費用調查表(表一)'!$E$7:$AA$112,13,FALSE)</f>
        <v>15840</v>
      </c>
      <c r="G102" s="20">
        <f>VLOOKUP(B102,'[1]附件六-費用調查表(表一)'!$E$7:$AA$112,14,FALSE)</f>
        <v>10040</v>
      </c>
      <c r="H102" s="20">
        <f>VLOOKUP(B102,'[1]附件六-費用調查表(表一)'!$E$7:$AA$112,15,FALSE)</f>
        <v>5704</v>
      </c>
      <c r="I102" s="21">
        <f t="shared" si="13"/>
        <v>538464</v>
      </c>
      <c r="J102" s="8">
        <f>VLOOKUP(B102,'[1]附件六-費用調查表(表一)'!$E$7:$AA$111,17,FALSE)</f>
        <v>0</v>
      </c>
      <c r="K102" s="22"/>
      <c r="L102" s="10">
        <v>514704</v>
      </c>
      <c r="M102" s="23">
        <f>VLOOKUP('107學年度第2學期經費核定表'!B102,'[1]附件六-費用調查表(表一)'!$E$7:$AA$111,21,FALSE)</f>
        <v>0</v>
      </c>
      <c r="N102" s="24">
        <f>VLOOKUP(B102,'[1]附件六-費用調查表(表一)'!$E$7:$AA$111,18,FALSE)</f>
        <v>0</v>
      </c>
      <c r="O102" s="24">
        <f>VLOOKUP(B102,'[1]附件六-費用調查表(表一)'!$E$7:$AA$111,22,FALSE)</f>
        <v>0</v>
      </c>
      <c r="P102" s="24">
        <f>VLOOKUP(B102,'[1]附件六-費用調查表(表一)'!$E$7:$AA$111,23,FALSE)</f>
        <v>0</v>
      </c>
      <c r="Q102" s="25">
        <v>1260</v>
      </c>
      <c r="R102" s="13">
        <f t="shared" si="9"/>
        <v>23760</v>
      </c>
      <c r="S102" s="36">
        <f t="shared" si="10"/>
        <v>539724</v>
      </c>
      <c r="T102" s="14">
        <f t="shared" si="12"/>
        <v>0</v>
      </c>
      <c r="U102" s="14">
        <f t="shared" si="11"/>
        <v>539724</v>
      </c>
    </row>
    <row r="103" spans="1:21" s="27" customFormat="1" ht="30" customHeight="1">
      <c r="A103" s="65" t="s">
        <v>121</v>
      </c>
      <c r="B103" s="65"/>
      <c r="C103" s="26">
        <f>SUM(C5:C102)</f>
        <v>9472190</v>
      </c>
      <c r="D103" s="26">
        <f>SUM(D5:D102)</f>
        <v>11193440</v>
      </c>
      <c r="E103" s="26">
        <f>SUM(E5:E102)</f>
        <v>2185890</v>
      </c>
      <c r="F103" s="26">
        <f t="shared" ref="F103:U103" si="14">SUM(F5:F102)</f>
        <v>714110</v>
      </c>
      <c r="G103" s="26">
        <f t="shared" si="14"/>
        <v>618315</v>
      </c>
      <c r="H103" s="26">
        <f t="shared" si="14"/>
        <v>362107</v>
      </c>
      <c r="I103" s="26">
        <f t="shared" si="14"/>
        <v>24546052</v>
      </c>
      <c r="J103" s="40">
        <f t="shared" si="14"/>
        <v>137725</v>
      </c>
      <c r="K103" s="26">
        <f t="shared" si="14"/>
        <v>4305124</v>
      </c>
      <c r="L103" s="40">
        <v>4838814</v>
      </c>
      <c r="M103" s="41">
        <f t="shared" si="14"/>
        <v>1962364</v>
      </c>
      <c r="N103" s="26">
        <f t="shared" si="14"/>
        <v>232817</v>
      </c>
      <c r="O103" s="41">
        <f t="shared" si="14"/>
        <v>4269527</v>
      </c>
      <c r="P103" s="40">
        <f t="shared" si="14"/>
        <v>6753516</v>
      </c>
      <c r="Q103" s="40">
        <f t="shared" si="14"/>
        <v>103965</v>
      </c>
      <c r="R103" s="40">
        <f t="shared" si="14"/>
        <v>2185890</v>
      </c>
      <c r="S103" s="41">
        <f t="shared" si="14"/>
        <v>19976351</v>
      </c>
      <c r="T103" s="26">
        <f t="shared" si="14"/>
        <v>4305124</v>
      </c>
      <c r="U103" s="26">
        <f t="shared" si="14"/>
        <v>24281475</v>
      </c>
    </row>
    <row r="104" spans="1:21" ht="16.5" customHeight="1">
      <c r="B104" s="28"/>
      <c r="C104" s="29"/>
      <c r="D104" s="29"/>
      <c r="E104" s="29"/>
      <c r="H104" s="29"/>
      <c r="I104" s="29"/>
      <c r="J104" s="29"/>
      <c r="K104" s="31"/>
      <c r="L104" s="32"/>
      <c r="M104" s="29"/>
      <c r="N104" s="29"/>
      <c r="O104" s="29"/>
      <c r="P104" s="29"/>
      <c r="Q104" s="29"/>
      <c r="R104" s="29"/>
      <c r="S104" s="37"/>
      <c r="T104" s="29"/>
      <c r="U104" s="29"/>
    </row>
    <row r="105" spans="1:21" ht="16.5" customHeight="1">
      <c r="C105" s="29"/>
      <c r="D105" s="29"/>
      <c r="E105" s="29"/>
      <c r="H105" s="29"/>
      <c r="I105" s="29"/>
      <c r="J105" s="29"/>
      <c r="K105" s="31"/>
      <c r="L105" s="32"/>
      <c r="M105" s="29"/>
      <c r="N105" s="29"/>
      <c r="O105" s="29"/>
      <c r="P105" s="29"/>
      <c r="Q105" s="29"/>
      <c r="R105" s="29"/>
      <c r="S105" s="55"/>
      <c r="T105" s="55"/>
      <c r="U105" s="29"/>
    </row>
    <row r="106" spans="1:21" s="15" customFormat="1" ht="34.200000000000003" customHeight="1">
      <c r="A106" s="1"/>
      <c r="B106" s="33"/>
      <c r="C106" s="29"/>
      <c r="D106" s="29"/>
      <c r="E106" s="29"/>
      <c r="F106" s="30"/>
      <c r="G106" s="30"/>
      <c r="H106" s="29"/>
      <c r="I106" s="29"/>
      <c r="J106" s="29"/>
      <c r="K106" s="31"/>
      <c r="L106" s="32"/>
      <c r="M106" s="29"/>
      <c r="S106" s="38"/>
    </row>
    <row r="107" spans="1:21" ht="16.5" customHeight="1">
      <c r="C107" s="29"/>
      <c r="D107" s="29"/>
      <c r="E107" s="29"/>
      <c r="H107" s="29"/>
      <c r="I107" s="29"/>
      <c r="J107" s="29"/>
      <c r="K107" s="31"/>
      <c r="L107" s="32"/>
      <c r="M107" s="29"/>
      <c r="N107" s="29"/>
      <c r="O107" s="29"/>
      <c r="P107" s="29"/>
      <c r="Q107" s="29"/>
      <c r="R107" s="29"/>
      <c r="S107" s="37"/>
      <c r="T107" s="29"/>
      <c r="U107" s="29"/>
    </row>
    <row r="108" spans="1:21" ht="16.5" customHeight="1">
      <c r="C108" s="29"/>
      <c r="D108" s="29"/>
      <c r="E108" s="29"/>
      <c r="H108" s="29"/>
      <c r="I108" s="29"/>
      <c r="J108" s="29"/>
      <c r="K108" s="31"/>
      <c r="L108" s="32"/>
      <c r="M108" s="29"/>
      <c r="N108" s="29"/>
      <c r="O108" s="29"/>
      <c r="P108" s="29"/>
      <c r="Q108" s="29"/>
      <c r="R108" s="29"/>
      <c r="S108" s="37"/>
      <c r="T108" s="29"/>
      <c r="U108" s="29"/>
    </row>
    <row r="109" spans="1:21" ht="16.5" customHeight="1">
      <c r="C109" s="29"/>
      <c r="D109" s="29"/>
      <c r="E109" s="29"/>
      <c r="H109" s="29"/>
      <c r="I109" s="29"/>
      <c r="J109" s="29"/>
      <c r="K109" s="31"/>
      <c r="L109" s="32"/>
      <c r="M109" s="29"/>
      <c r="N109" s="29"/>
      <c r="O109" s="29"/>
      <c r="P109" s="29"/>
      <c r="Q109" s="29"/>
      <c r="R109" s="29"/>
      <c r="S109" s="37"/>
      <c r="T109" s="29"/>
      <c r="U109" s="29"/>
    </row>
    <row r="110" spans="1:21" ht="16.5" customHeight="1">
      <c r="C110" s="29"/>
      <c r="D110" s="29"/>
      <c r="E110" s="29"/>
      <c r="H110" s="29"/>
      <c r="I110" s="29"/>
      <c r="J110" s="29"/>
      <c r="K110" s="31"/>
      <c r="L110" s="32"/>
      <c r="M110" s="29"/>
      <c r="N110" s="29"/>
      <c r="O110" s="29"/>
      <c r="P110" s="29"/>
      <c r="Q110" s="29"/>
      <c r="R110" s="29"/>
      <c r="S110" s="37"/>
      <c r="T110" s="29"/>
      <c r="U110" s="29"/>
    </row>
    <row r="111" spans="1:21" ht="16.5" customHeight="1">
      <c r="C111" s="29"/>
      <c r="D111" s="29"/>
      <c r="E111" s="29"/>
      <c r="H111" s="29"/>
      <c r="I111" s="29"/>
      <c r="J111" s="29"/>
      <c r="K111" s="31"/>
      <c r="L111" s="32"/>
      <c r="M111" s="29"/>
      <c r="N111" s="29"/>
      <c r="O111" s="29"/>
      <c r="P111" s="29"/>
      <c r="Q111" s="29"/>
      <c r="R111" s="29"/>
      <c r="S111" s="37"/>
      <c r="T111" s="29"/>
      <c r="U111" s="29"/>
    </row>
    <row r="112" spans="1:21" ht="16.5" customHeight="1">
      <c r="C112" s="29"/>
      <c r="D112" s="29"/>
      <c r="E112" s="29"/>
      <c r="H112" s="29"/>
      <c r="I112" s="29"/>
      <c r="J112" s="29"/>
      <c r="K112" s="31"/>
      <c r="L112" s="32"/>
      <c r="M112" s="29"/>
      <c r="N112" s="29"/>
      <c r="O112" s="29"/>
      <c r="P112" s="29"/>
      <c r="Q112" s="29"/>
      <c r="R112" s="29"/>
      <c r="S112" s="37"/>
      <c r="T112" s="29"/>
      <c r="U112" s="29"/>
    </row>
    <row r="113" spans="3:21" ht="16.5" customHeight="1">
      <c r="C113" s="29"/>
      <c r="D113" s="29"/>
      <c r="E113" s="29"/>
      <c r="H113" s="29"/>
      <c r="I113" s="29"/>
      <c r="J113" s="29"/>
      <c r="K113" s="31"/>
      <c r="L113" s="32"/>
      <c r="M113" s="29"/>
      <c r="N113" s="29"/>
      <c r="O113" s="29"/>
      <c r="P113" s="29"/>
      <c r="Q113" s="29"/>
      <c r="R113" s="29"/>
      <c r="S113" s="37"/>
      <c r="T113" s="29"/>
      <c r="U113" s="29"/>
    </row>
    <row r="114" spans="3:21" ht="16.5" customHeight="1">
      <c r="C114" s="29"/>
      <c r="D114" s="29"/>
      <c r="E114" s="29"/>
      <c r="H114" s="29"/>
      <c r="I114" s="29"/>
      <c r="J114" s="29"/>
      <c r="K114" s="31"/>
      <c r="L114" s="32"/>
      <c r="M114" s="29"/>
      <c r="N114" s="29"/>
      <c r="O114" s="29"/>
      <c r="P114" s="29"/>
      <c r="Q114" s="29"/>
      <c r="R114" s="29"/>
      <c r="S114" s="37"/>
      <c r="T114" s="29"/>
      <c r="U114" s="29"/>
    </row>
    <row r="115" spans="3:21" ht="16.5" customHeight="1">
      <c r="C115" s="29"/>
      <c r="D115" s="29"/>
      <c r="E115" s="29"/>
      <c r="H115" s="29"/>
      <c r="I115" s="29"/>
      <c r="J115" s="29"/>
      <c r="K115" s="31"/>
      <c r="L115" s="32"/>
      <c r="M115" s="29"/>
      <c r="N115" s="29"/>
      <c r="O115" s="29"/>
      <c r="P115" s="29"/>
      <c r="Q115" s="29"/>
      <c r="R115" s="29"/>
      <c r="S115" s="37"/>
      <c r="T115" s="29"/>
      <c r="U115" s="29"/>
    </row>
    <row r="116" spans="3:21" ht="16.5" customHeight="1">
      <c r="C116" s="29"/>
      <c r="D116" s="29"/>
      <c r="E116" s="29"/>
      <c r="H116" s="29"/>
      <c r="I116" s="29"/>
      <c r="J116" s="29"/>
      <c r="K116" s="31"/>
      <c r="L116" s="32"/>
      <c r="M116" s="29"/>
      <c r="N116" s="29"/>
      <c r="O116" s="29"/>
      <c r="P116" s="29"/>
      <c r="Q116" s="29"/>
      <c r="R116" s="29"/>
      <c r="S116" s="37"/>
      <c r="T116" s="29"/>
      <c r="U116" s="29"/>
    </row>
    <row r="117" spans="3:21" ht="16.5" customHeight="1">
      <c r="C117" s="29"/>
      <c r="D117" s="29"/>
      <c r="E117" s="29"/>
      <c r="H117" s="29"/>
      <c r="I117" s="29"/>
      <c r="J117" s="29"/>
      <c r="K117" s="31"/>
      <c r="L117" s="32"/>
      <c r="M117" s="29"/>
      <c r="N117" s="29"/>
      <c r="O117" s="29"/>
      <c r="P117" s="29"/>
      <c r="Q117" s="29"/>
      <c r="R117" s="29"/>
      <c r="S117" s="37"/>
      <c r="T117" s="29"/>
      <c r="U117" s="29"/>
    </row>
    <row r="118" spans="3:21" ht="16.5" customHeight="1">
      <c r="C118" s="29"/>
      <c r="D118" s="29"/>
      <c r="E118" s="29"/>
      <c r="H118" s="29"/>
      <c r="I118" s="29"/>
      <c r="J118" s="29"/>
      <c r="K118" s="31"/>
      <c r="L118" s="32"/>
      <c r="M118" s="29"/>
      <c r="N118" s="29"/>
      <c r="O118" s="29"/>
      <c r="P118" s="29"/>
      <c r="Q118" s="29"/>
      <c r="R118" s="29"/>
      <c r="S118" s="37"/>
      <c r="T118" s="29"/>
      <c r="U118" s="29"/>
    </row>
    <row r="119" spans="3:21" ht="16.5" customHeight="1">
      <c r="C119" s="29"/>
      <c r="D119" s="29"/>
      <c r="E119" s="29"/>
      <c r="H119" s="29"/>
      <c r="I119" s="29"/>
      <c r="J119" s="29"/>
      <c r="K119" s="31"/>
      <c r="L119" s="32"/>
      <c r="M119" s="29"/>
      <c r="N119" s="29"/>
      <c r="O119" s="29"/>
      <c r="P119" s="29"/>
      <c r="Q119" s="29"/>
      <c r="R119" s="29"/>
      <c r="S119" s="37"/>
      <c r="T119" s="29"/>
      <c r="U119" s="29"/>
    </row>
    <row r="120" spans="3:21" ht="16.5" customHeight="1">
      <c r="C120" s="29"/>
      <c r="D120" s="29"/>
      <c r="E120" s="29"/>
      <c r="H120" s="29"/>
      <c r="I120" s="29"/>
      <c r="J120" s="29"/>
      <c r="K120" s="31"/>
      <c r="L120" s="32"/>
      <c r="M120" s="29"/>
      <c r="N120" s="29"/>
      <c r="O120" s="29"/>
      <c r="P120" s="29"/>
      <c r="Q120" s="29"/>
      <c r="R120" s="29"/>
      <c r="S120" s="37"/>
      <c r="T120" s="29"/>
      <c r="U120" s="29"/>
    </row>
    <row r="121" spans="3:21" ht="16.5" customHeight="1">
      <c r="C121" s="29"/>
      <c r="D121" s="29"/>
      <c r="E121" s="29"/>
      <c r="H121" s="29"/>
      <c r="I121" s="29"/>
      <c r="J121" s="29"/>
      <c r="K121" s="31"/>
      <c r="L121" s="32"/>
      <c r="M121" s="29"/>
      <c r="N121" s="29"/>
      <c r="O121" s="29"/>
      <c r="P121" s="29"/>
      <c r="Q121" s="29"/>
      <c r="R121" s="29"/>
      <c r="S121" s="37"/>
      <c r="T121" s="29"/>
      <c r="U121" s="29"/>
    </row>
    <row r="122" spans="3:21" ht="16.5" customHeight="1">
      <c r="C122" s="29"/>
      <c r="D122" s="29"/>
      <c r="E122" s="29"/>
      <c r="H122" s="29"/>
      <c r="I122" s="29"/>
      <c r="J122" s="29"/>
      <c r="K122" s="31"/>
      <c r="L122" s="32"/>
      <c r="M122" s="29"/>
      <c r="N122" s="29"/>
      <c r="O122" s="29"/>
      <c r="P122" s="29"/>
      <c r="Q122" s="29"/>
      <c r="R122" s="29"/>
      <c r="S122" s="37"/>
      <c r="T122" s="29"/>
      <c r="U122" s="29"/>
    </row>
    <row r="123" spans="3:21" ht="16.5" customHeight="1">
      <c r="C123" s="29"/>
      <c r="D123" s="29"/>
      <c r="E123" s="29"/>
      <c r="H123" s="29"/>
      <c r="I123" s="29"/>
      <c r="J123" s="29"/>
      <c r="K123" s="31"/>
      <c r="L123" s="32"/>
      <c r="M123" s="29"/>
      <c r="N123" s="29"/>
      <c r="O123" s="29"/>
      <c r="P123" s="29"/>
      <c r="Q123" s="29"/>
      <c r="R123" s="29"/>
      <c r="S123" s="37"/>
      <c r="T123" s="29"/>
      <c r="U123" s="29"/>
    </row>
    <row r="124" spans="3:21" ht="16.5" customHeight="1">
      <c r="C124" s="29"/>
      <c r="D124" s="29"/>
      <c r="E124" s="29"/>
      <c r="H124" s="29"/>
      <c r="I124" s="29"/>
      <c r="J124" s="29"/>
      <c r="K124" s="31"/>
      <c r="L124" s="32"/>
      <c r="M124" s="29"/>
      <c r="N124" s="29"/>
      <c r="O124" s="29"/>
      <c r="P124" s="29"/>
      <c r="Q124" s="29"/>
      <c r="R124" s="29"/>
      <c r="S124" s="37"/>
      <c r="T124" s="29"/>
      <c r="U124" s="29"/>
    </row>
    <row r="125" spans="3:21" ht="16.5" customHeight="1">
      <c r="C125" s="29"/>
      <c r="D125" s="29"/>
      <c r="E125" s="29"/>
      <c r="H125" s="29"/>
      <c r="I125" s="29"/>
      <c r="J125" s="29"/>
      <c r="K125" s="31"/>
      <c r="L125" s="32"/>
      <c r="M125" s="29"/>
      <c r="N125" s="29"/>
      <c r="O125" s="29"/>
      <c r="P125" s="29"/>
      <c r="Q125" s="29"/>
      <c r="R125" s="29"/>
      <c r="S125" s="37"/>
      <c r="T125" s="29"/>
      <c r="U125" s="29"/>
    </row>
    <row r="126" spans="3:21" ht="16.5" customHeight="1">
      <c r="C126" s="29"/>
      <c r="D126" s="29"/>
      <c r="E126" s="29"/>
      <c r="H126" s="29"/>
      <c r="I126" s="29"/>
      <c r="J126" s="29"/>
      <c r="K126" s="31"/>
      <c r="L126" s="32"/>
      <c r="M126" s="29"/>
      <c r="N126" s="29"/>
      <c r="O126" s="29"/>
      <c r="P126" s="29"/>
      <c r="Q126" s="29"/>
      <c r="R126" s="29"/>
      <c r="S126" s="37"/>
      <c r="T126" s="29"/>
      <c r="U126" s="29"/>
    </row>
    <row r="127" spans="3:21" ht="16.5" customHeight="1">
      <c r="C127" s="29"/>
      <c r="D127" s="29"/>
      <c r="E127" s="29"/>
      <c r="H127" s="29"/>
      <c r="I127" s="29"/>
      <c r="J127" s="29"/>
      <c r="K127" s="31"/>
      <c r="L127" s="32"/>
      <c r="M127" s="29"/>
      <c r="N127" s="29"/>
      <c r="O127" s="29"/>
      <c r="P127" s="29"/>
      <c r="Q127" s="29"/>
      <c r="R127" s="29"/>
      <c r="S127" s="37"/>
      <c r="T127" s="29"/>
      <c r="U127" s="29"/>
    </row>
    <row r="128" spans="3:21" ht="16.5" customHeight="1">
      <c r="C128" s="29"/>
      <c r="D128" s="29"/>
      <c r="E128" s="29"/>
      <c r="H128" s="29"/>
      <c r="I128" s="29"/>
      <c r="J128" s="29"/>
      <c r="K128" s="31"/>
      <c r="L128" s="32"/>
      <c r="M128" s="29"/>
      <c r="N128" s="29"/>
      <c r="O128" s="29"/>
      <c r="P128" s="29"/>
      <c r="Q128" s="29"/>
      <c r="R128" s="29"/>
      <c r="S128" s="37"/>
      <c r="T128" s="29"/>
      <c r="U128" s="29"/>
    </row>
    <row r="129" spans="3:21" ht="16.5" customHeight="1">
      <c r="C129" s="29"/>
      <c r="D129" s="29"/>
      <c r="E129" s="29"/>
      <c r="H129" s="29"/>
      <c r="I129" s="29"/>
      <c r="J129" s="29"/>
      <c r="K129" s="31"/>
      <c r="L129" s="32"/>
      <c r="M129" s="29"/>
      <c r="N129" s="29"/>
      <c r="O129" s="29"/>
      <c r="P129" s="29"/>
      <c r="Q129" s="29"/>
      <c r="R129" s="29"/>
      <c r="S129" s="37"/>
      <c r="T129" s="29"/>
      <c r="U129" s="29"/>
    </row>
    <row r="130" spans="3:21" ht="16.5" customHeight="1">
      <c r="C130" s="29"/>
      <c r="D130" s="29"/>
      <c r="E130" s="29"/>
      <c r="H130" s="29"/>
      <c r="I130" s="29"/>
      <c r="J130" s="29"/>
      <c r="K130" s="31"/>
      <c r="L130" s="32"/>
      <c r="M130" s="29"/>
      <c r="N130" s="29"/>
      <c r="O130" s="29"/>
      <c r="P130" s="29"/>
      <c r="Q130" s="29"/>
      <c r="R130" s="29"/>
      <c r="S130" s="37"/>
      <c r="T130" s="29"/>
      <c r="U130" s="29"/>
    </row>
    <row r="131" spans="3:21" ht="16.5" customHeight="1">
      <c r="C131" s="29"/>
      <c r="D131" s="29"/>
      <c r="E131" s="29"/>
      <c r="H131" s="29"/>
      <c r="I131" s="29"/>
      <c r="J131" s="29"/>
      <c r="K131" s="31"/>
      <c r="L131" s="32"/>
      <c r="M131" s="29"/>
      <c r="N131" s="29"/>
      <c r="O131" s="29"/>
      <c r="P131" s="29"/>
      <c r="Q131" s="29"/>
      <c r="R131" s="29"/>
      <c r="S131" s="37"/>
      <c r="T131" s="29"/>
      <c r="U131" s="29"/>
    </row>
    <row r="132" spans="3:21" ht="16.5" customHeight="1">
      <c r="C132" s="29"/>
      <c r="D132" s="29"/>
      <c r="E132" s="29"/>
      <c r="H132" s="29"/>
      <c r="I132" s="29"/>
      <c r="J132" s="29"/>
      <c r="K132" s="31"/>
      <c r="L132" s="32"/>
      <c r="M132" s="29"/>
      <c r="N132" s="29"/>
      <c r="O132" s="29"/>
      <c r="P132" s="29"/>
      <c r="Q132" s="29"/>
      <c r="R132" s="29"/>
      <c r="S132" s="37"/>
      <c r="T132" s="29"/>
      <c r="U132" s="29"/>
    </row>
    <row r="133" spans="3:21" ht="16.5" customHeight="1">
      <c r="C133" s="29"/>
      <c r="D133" s="29"/>
      <c r="E133" s="29"/>
      <c r="H133" s="29"/>
      <c r="I133" s="29"/>
      <c r="J133" s="29"/>
      <c r="K133" s="31"/>
      <c r="L133" s="32"/>
      <c r="M133" s="29"/>
      <c r="N133" s="29"/>
      <c r="O133" s="29"/>
      <c r="P133" s="29"/>
      <c r="Q133" s="29"/>
      <c r="R133" s="29"/>
      <c r="S133" s="37"/>
      <c r="T133" s="29"/>
      <c r="U133" s="29"/>
    </row>
    <row r="134" spans="3:21" ht="16.5" customHeight="1">
      <c r="C134" s="29"/>
      <c r="D134" s="29"/>
      <c r="E134" s="29"/>
      <c r="H134" s="29"/>
      <c r="I134" s="29"/>
      <c r="J134" s="29"/>
      <c r="K134" s="31"/>
      <c r="L134" s="32"/>
      <c r="M134" s="29"/>
      <c r="N134" s="29"/>
      <c r="O134" s="29"/>
      <c r="P134" s="29"/>
      <c r="Q134" s="29"/>
      <c r="R134" s="29"/>
      <c r="S134" s="37"/>
      <c r="T134" s="29"/>
      <c r="U134" s="29"/>
    </row>
    <row r="135" spans="3:21" ht="16.5" customHeight="1">
      <c r="C135" s="29"/>
      <c r="D135" s="29"/>
      <c r="E135" s="29"/>
      <c r="H135" s="29"/>
      <c r="I135" s="29"/>
      <c r="J135" s="29"/>
      <c r="K135" s="31"/>
      <c r="L135" s="32"/>
      <c r="M135" s="29"/>
      <c r="N135" s="29"/>
      <c r="O135" s="29"/>
      <c r="P135" s="29"/>
      <c r="Q135" s="29"/>
      <c r="R135" s="29"/>
      <c r="S135" s="37"/>
      <c r="T135" s="29"/>
      <c r="U135" s="29"/>
    </row>
    <row r="136" spans="3:21" ht="16.5" customHeight="1">
      <c r="C136" s="29"/>
      <c r="D136" s="29"/>
      <c r="E136" s="29"/>
      <c r="H136" s="29"/>
      <c r="I136" s="29"/>
      <c r="J136" s="29"/>
      <c r="K136" s="31"/>
      <c r="L136" s="32"/>
      <c r="M136" s="29"/>
      <c r="N136" s="29"/>
      <c r="O136" s="29"/>
      <c r="P136" s="29"/>
      <c r="Q136" s="29"/>
      <c r="R136" s="29"/>
      <c r="S136" s="37"/>
      <c r="T136" s="29"/>
      <c r="U136" s="29"/>
    </row>
    <row r="137" spans="3:21" ht="16.5" customHeight="1">
      <c r="C137" s="29"/>
      <c r="D137" s="29"/>
      <c r="E137" s="29"/>
      <c r="H137" s="29"/>
      <c r="I137" s="29"/>
      <c r="J137" s="29"/>
      <c r="K137" s="31"/>
      <c r="L137" s="32"/>
      <c r="M137" s="29"/>
      <c r="N137" s="29"/>
      <c r="O137" s="29"/>
      <c r="P137" s="29"/>
      <c r="Q137" s="29"/>
      <c r="R137" s="29"/>
      <c r="S137" s="37"/>
      <c r="T137" s="29"/>
      <c r="U137" s="29"/>
    </row>
    <row r="138" spans="3:21" ht="16.5" customHeight="1">
      <c r="C138" s="29"/>
      <c r="D138" s="29"/>
      <c r="E138" s="29"/>
      <c r="H138" s="29"/>
      <c r="I138" s="29"/>
      <c r="J138" s="29"/>
      <c r="K138" s="31"/>
      <c r="L138" s="32"/>
      <c r="M138" s="29"/>
      <c r="N138" s="29"/>
      <c r="O138" s="29"/>
      <c r="P138" s="29"/>
      <c r="Q138" s="29"/>
      <c r="R138" s="29"/>
      <c r="S138" s="37"/>
      <c r="T138" s="29"/>
      <c r="U138" s="29"/>
    </row>
    <row r="139" spans="3:21" ht="16.5" customHeight="1">
      <c r="C139" s="29"/>
      <c r="D139" s="29"/>
      <c r="E139" s="29"/>
      <c r="H139" s="29"/>
      <c r="I139" s="29"/>
      <c r="J139" s="29"/>
      <c r="K139" s="31"/>
      <c r="L139" s="32"/>
      <c r="M139" s="29"/>
      <c r="N139" s="29"/>
      <c r="O139" s="29"/>
      <c r="P139" s="29"/>
      <c r="Q139" s="29"/>
      <c r="R139" s="29"/>
      <c r="S139" s="37"/>
      <c r="T139" s="29"/>
      <c r="U139" s="29"/>
    </row>
    <row r="140" spans="3:21" ht="16.5" customHeight="1">
      <c r="C140" s="29"/>
      <c r="D140" s="29"/>
      <c r="E140" s="29"/>
      <c r="H140" s="29"/>
      <c r="I140" s="29"/>
      <c r="J140" s="29"/>
      <c r="K140" s="31"/>
      <c r="L140" s="32"/>
      <c r="M140" s="29"/>
      <c r="N140" s="29"/>
      <c r="O140" s="29"/>
      <c r="P140" s="29"/>
      <c r="Q140" s="29"/>
      <c r="R140" s="29"/>
      <c r="S140" s="37"/>
      <c r="T140" s="29"/>
      <c r="U140" s="29"/>
    </row>
    <row r="141" spans="3:21" ht="16.5" customHeight="1">
      <c r="C141" s="29"/>
      <c r="D141" s="29"/>
      <c r="E141" s="29"/>
      <c r="H141" s="29"/>
      <c r="I141" s="29"/>
      <c r="J141" s="29"/>
      <c r="K141" s="31"/>
      <c r="L141" s="32"/>
      <c r="M141" s="29"/>
      <c r="N141" s="29"/>
      <c r="O141" s="29"/>
      <c r="P141" s="29"/>
      <c r="Q141" s="29"/>
      <c r="R141" s="29"/>
      <c r="S141" s="37"/>
      <c r="T141" s="29"/>
      <c r="U141" s="29"/>
    </row>
    <row r="142" spans="3:21" ht="16.5" customHeight="1">
      <c r="C142" s="29"/>
      <c r="D142" s="29"/>
      <c r="E142" s="29"/>
      <c r="H142" s="29"/>
      <c r="I142" s="29"/>
      <c r="J142" s="29"/>
      <c r="K142" s="31"/>
      <c r="L142" s="32"/>
      <c r="M142" s="29"/>
      <c r="N142" s="29"/>
      <c r="O142" s="29"/>
      <c r="P142" s="29"/>
      <c r="Q142" s="29"/>
      <c r="R142" s="29"/>
      <c r="S142" s="37"/>
      <c r="T142" s="29"/>
      <c r="U142" s="29"/>
    </row>
    <row r="143" spans="3:21" ht="16.5" customHeight="1">
      <c r="C143" s="29"/>
      <c r="D143" s="29"/>
      <c r="E143" s="29"/>
      <c r="H143" s="29"/>
      <c r="I143" s="29"/>
      <c r="J143" s="29"/>
      <c r="K143" s="31"/>
      <c r="L143" s="32"/>
      <c r="M143" s="29"/>
      <c r="N143" s="29"/>
      <c r="O143" s="29"/>
      <c r="P143" s="29"/>
      <c r="Q143" s="29"/>
      <c r="R143" s="29"/>
      <c r="S143" s="37"/>
      <c r="T143" s="29"/>
      <c r="U143" s="29"/>
    </row>
    <row r="144" spans="3:21" ht="16.5" customHeight="1">
      <c r="C144" s="29"/>
      <c r="D144" s="29"/>
      <c r="E144" s="29"/>
      <c r="H144" s="29"/>
      <c r="I144" s="29"/>
      <c r="J144" s="29"/>
      <c r="K144" s="31"/>
      <c r="L144" s="32"/>
      <c r="M144" s="29"/>
      <c r="N144" s="29"/>
      <c r="O144" s="29"/>
      <c r="P144" s="29"/>
      <c r="Q144" s="29"/>
      <c r="R144" s="29"/>
      <c r="S144" s="37"/>
      <c r="T144" s="29"/>
      <c r="U144" s="29"/>
    </row>
    <row r="145" spans="3:21" ht="16.5" customHeight="1">
      <c r="C145" s="29"/>
      <c r="D145" s="29"/>
      <c r="E145" s="29"/>
      <c r="H145" s="29"/>
      <c r="I145" s="29"/>
      <c r="J145" s="29"/>
      <c r="K145" s="31"/>
      <c r="L145" s="32"/>
      <c r="M145" s="29"/>
      <c r="N145" s="29"/>
      <c r="O145" s="29"/>
      <c r="P145" s="29"/>
      <c r="Q145" s="29"/>
      <c r="R145" s="29"/>
      <c r="S145" s="37"/>
      <c r="T145" s="29"/>
      <c r="U145" s="29"/>
    </row>
    <row r="146" spans="3:21" ht="16.5" customHeight="1">
      <c r="C146" s="29"/>
      <c r="D146" s="29"/>
      <c r="E146" s="29"/>
      <c r="H146" s="29"/>
      <c r="I146" s="29"/>
      <c r="J146" s="29"/>
      <c r="K146" s="31"/>
      <c r="L146" s="32"/>
      <c r="M146" s="29"/>
      <c r="N146" s="29"/>
      <c r="O146" s="29"/>
      <c r="P146" s="29"/>
      <c r="Q146" s="29"/>
      <c r="R146" s="29"/>
      <c r="S146" s="37"/>
      <c r="T146" s="29"/>
      <c r="U146" s="29"/>
    </row>
    <row r="147" spans="3:21" ht="16.5" customHeight="1">
      <c r="C147" s="29"/>
      <c r="D147" s="29"/>
      <c r="E147" s="29"/>
      <c r="H147" s="29"/>
      <c r="I147" s="29"/>
      <c r="J147" s="29"/>
      <c r="K147" s="31"/>
      <c r="L147" s="32"/>
      <c r="M147" s="29"/>
      <c r="N147" s="29"/>
      <c r="O147" s="29"/>
      <c r="P147" s="29"/>
      <c r="Q147" s="29"/>
      <c r="R147" s="29"/>
      <c r="S147" s="37"/>
      <c r="T147" s="29"/>
      <c r="U147" s="29"/>
    </row>
    <row r="148" spans="3:21" ht="16.5" customHeight="1">
      <c r="C148" s="29"/>
      <c r="D148" s="29"/>
      <c r="E148" s="29"/>
      <c r="H148" s="29"/>
      <c r="I148" s="29"/>
      <c r="J148" s="29"/>
      <c r="K148" s="31"/>
      <c r="L148" s="32"/>
      <c r="M148" s="29"/>
      <c r="N148" s="29"/>
      <c r="O148" s="29"/>
      <c r="P148" s="29"/>
      <c r="Q148" s="29"/>
      <c r="R148" s="29"/>
      <c r="S148" s="37"/>
      <c r="T148" s="29"/>
      <c r="U148" s="29"/>
    </row>
    <row r="149" spans="3:21" ht="16.5" customHeight="1">
      <c r="C149" s="29"/>
      <c r="D149" s="29"/>
      <c r="E149" s="29"/>
      <c r="H149" s="29"/>
      <c r="I149" s="29"/>
      <c r="J149" s="29"/>
      <c r="K149" s="31"/>
      <c r="L149" s="32"/>
      <c r="M149" s="29"/>
      <c r="N149" s="29"/>
      <c r="O149" s="29"/>
      <c r="P149" s="29"/>
      <c r="Q149" s="29"/>
      <c r="R149" s="29"/>
      <c r="S149" s="37"/>
      <c r="T149" s="29"/>
      <c r="U149" s="29"/>
    </row>
    <row r="150" spans="3:21" ht="16.5" customHeight="1">
      <c r="C150" s="29"/>
      <c r="D150" s="29"/>
      <c r="E150" s="29"/>
      <c r="H150" s="29"/>
      <c r="I150" s="29"/>
      <c r="J150" s="29"/>
      <c r="K150" s="31"/>
      <c r="L150" s="32"/>
      <c r="M150" s="29"/>
      <c r="N150" s="29"/>
      <c r="O150" s="29"/>
      <c r="P150" s="29"/>
      <c r="Q150" s="29"/>
      <c r="R150" s="29"/>
      <c r="S150" s="37"/>
      <c r="T150" s="29"/>
      <c r="U150" s="29"/>
    </row>
    <row r="151" spans="3:21" ht="16.5" customHeight="1">
      <c r="C151" s="29"/>
      <c r="D151" s="29"/>
      <c r="E151" s="29"/>
      <c r="H151" s="29"/>
      <c r="I151" s="29"/>
      <c r="J151" s="29"/>
      <c r="K151" s="31"/>
      <c r="L151" s="32"/>
      <c r="M151" s="29"/>
      <c r="N151" s="29"/>
      <c r="O151" s="29"/>
      <c r="P151" s="29"/>
      <c r="Q151" s="29"/>
      <c r="R151" s="29"/>
      <c r="S151" s="37"/>
      <c r="T151" s="29"/>
      <c r="U151" s="29"/>
    </row>
    <row r="152" spans="3:21" ht="16.5" customHeight="1">
      <c r="C152" s="29"/>
      <c r="D152" s="29"/>
      <c r="E152" s="29"/>
      <c r="H152" s="29"/>
      <c r="I152" s="29"/>
      <c r="J152" s="29"/>
      <c r="K152" s="31"/>
      <c r="L152" s="32"/>
      <c r="M152" s="29"/>
      <c r="N152" s="29"/>
      <c r="O152" s="29"/>
      <c r="P152" s="29"/>
      <c r="Q152" s="29"/>
      <c r="R152" s="29"/>
      <c r="S152" s="37"/>
      <c r="T152" s="29"/>
      <c r="U152" s="29"/>
    </row>
    <row r="153" spans="3:21" ht="16.5" customHeight="1">
      <c r="C153" s="29"/>
      <c r="D153" s="29"/>
      <c r="E153" s="29"/>
      <c r="H153" s="29"/>
      <c r="I153" s="29"/>
      <c r="J153" s="29"/>
      <c r="K153" s="31"/>
      <c r="L153" s="32"/>
      <c r="M153" s="29"/>
      <c r="N153" s="29"/>
      <c r="O153" s="29"/>
      <c r="P153" s="29"/>
      <c r="Q153" s="29"/>
      <c r="R153" s="29"/>
      <c r="S153" s="37"/>
      <c r="T153" s="29"/>
      <c r="U153" s="29"/>
    </row>
    <row r="154" spans="3:21" ht="16.5" customHeight="1">
      <c r="C154" s="29"/>
      <c r="D154" s="29"/>
      <c r="E154" s="29"/>
      <c r="H154" s="29"/>
      <c r="I154" s="29"/>
      <c r="J154" s="29"/>
      <c r="K154" s="31"/>
      <c r="L154" s="32"/>
      <c r="M154" s="29"/>
      <c r="N154" s="29"/>
      <c r="O154" s="29"/>
      <c r="P154" s="29"/>
      <c r="Q154" s="29"/>
      <c r="R154" s="29"/>
      <c r="S154" s="37"/>
      <c r="T154" s="29"/>
      <c r="U154" s="29"/>
    </row>
    <row r="155" spans="3:21" ht="16.5" customHeight="1">
      <c r="C155" s="29"/>
      <c r="D155" s="29"/>
      <c r="E155" s="29"/>
      <c r="H155" s="29"/>
      <c r="I155" s="29"/>
      <c r="J155" s="29"/>
      <c r="K155" s="31"/>
      <c r="L155" s="32"/>
      <c r="M155" s="29"/>
      <c r="N155" s="29"/>
      <c r="O155" s="29"/>
      <c r="P155" s="29"/>
      <c r="Q155" s="29"/>
      <c r="R155" s="29"/>
      <c r="S155" s="37"/>
      <c r="T155" s="29"/>
      <c r="U155" s="29"/>
    </row>
    <row r="156" spans="3:21" ht="16.5" customHeight="1">
      <c r="C156" s="29"/>
      <c r="D156" s="29"/>
      <c r="E156" s="29"/>
      <c r="H156" s="29"/>
      <c r="I156" s="29"/>
      <c r="J156" s="29"/>
      <c r="K156" s="31"/>
      <c r="L156" s="32"/>
      <c r="M156" s="29"/>
      <c r="N156" s="29"/>
      <c r="O156" s="29"/>
      <c r="P156" s="29"/>
      <c r="Q156" s="29"/>
      <c r="R156" s="29"/>
      <c r="S156" s="37"/>
      <c r="T156" s="29"/>
      <c r="U156" s="29"/>
    </row>
    <row r="157" spans="3:21" ht="16.5" customHeight="1">
      <c r="C157" s="29"/>
      <c r="D157" s="29"/>
      <c r="E157" s="29"/>
      <c r="H157" s="29"/>
      <c r="I157" s="29"/>
      <c r="J157" s="29"/>
      <c r="K157" s="31"/>
      <c r="L157" s="32"/>
      <c r="M157" s="29"/>
      <c r="N157" s="29"/>
      <c r="O157" s="29"/>
      <c r="P157" s="29"/>
      <c r="Q157" s="29"/>
      <c r="R157" s="29"/>
      <c r="S157" s="37"/>
      <c r="T157" s="29"/>
      <c r="U157" s="29"/>
    </row>
    <row r="158" spans="3:21" ht="16.5" customHeight="1">
      <c r="C158" s="29"/>
      <c r="D158" s="29"/>
      <c r="E158" s="29"/>
      <c r="H158" s="29"/>
      <c r="I158" s="29"/>
      <c r="J158" s="29"/>
      <c r="K158" s="31"/>
      <c r="L158" s="32"/>
      <c r="M158" s="29"/>
      <c r="N158" s="29"/>
      <c r="O158" s="29"/>
      <c r="P158" s="29"/>
      <c r="Q158" s="29"/>
      <c r="R158" s="29"/>
      <c r="S158" s="37"/>
      <c r="T158" s="29"/>
      <c r="U158" s="29"/>
    </row>
    <row r="159" spans="3:21" ht="16.5" customHeight="1">
      <c r="C159" s="29"/>
      <c r="D159" s="29"/>
      <c r="E159" s="29"/>
      <c r="H159" s="29"/>
      <c r="I159" s="29"/>
      <c r="J159" s="29"/>
      <c r="K159" s="31"/>
      <c r="L159" s="32"/>
      <c r="M159" s="29"/>
      <c r="N159" s="29"/>
      <c r="O159" s="29"/>
      <c r="P159" s="29"/>
      <c r="Q159" s="29"/>
      <c r="R159" s="29"/>
      <c r="S159" s="37"/>
      <c r="T159" s="29"/>
      <c r="U159" s="29"/>
    </row>
    <row r="160" spans="3:21" ht="16.5" customHeight="1">
      <c r="C160" s="29"/>
      <c r="D160" s="29"/>
      <c r="E160" s="29"/>
      <c r="H160" s="29"/>
      <c r="I160" s="29"/>
      <c r="J160" s="29"/>
      <c r="K160" s="31"/>
      <c r="L160" s="32"/>
      <c r="M160" s="29"/>
      <c r="N160" s="29"/>
      <c r="O160" s="29"/>
      <c r="P160" s="29"/>
      <c r="Q160" s="29"/>
      <c r="R160" s="29"/>
      <c r="S160" s="37"/>
      <c r="T160" s="29"/>
      <c r="U160" s="29"/>
    </row>
    <row r="161" spans="3:21" ht="16.5" customHeight="1">
      <c r="C161" s="29"/>
      <c r="D161" s="29"/>
      <c r="E161" s="29"/>
      <c r="H161" s="29"/>
      <c r="I161" s="29"/>
      <c r="J161" s="29"/>
      <c r="K161" s="31"/>
      <c r="L161" s="32"/>
      <c r="M161" s="29"/>
      <c r="N161" s="29"/>
      <c r="O161" s="29"/>
      <c r="P161" s="29"/>
      <c r="Q161" s="29"/>
      <c r="R161" s="29"/>
      <c r="S161" s="37"/>
      <c r="T161" s="29"/>
      <c r="U161" s="29"/>
    </row>
    <row r="162" spans="3:21" ht="16.5" customHeight="1">
      <c r="C162" s="29"/>
      <c r="D162" s="29"/>
      <c r="E162" s="29"/>
      <c r="H162" s="29"/>
      <c r="I162" s="29"/>
      <c r="J162" s="29"/>
      <c r="K162" s="31"/>
      <c r="L162" s="32"/>
      <c r="M162" s="29"/>
      <c r="N162" s="29"/>
      <c r="O162" s="29"/>
      <c r="P162" s="29"/>
      <c r="Q162" s="29"/>
      <c r="R162" s="29"/>
      <c r="S162" s="37"/>
      <c r="T162" s="29"/>
      <c r="U162" s="29"/>
    </row>
    <row r="163" spans="3:21" ht="16.5" customHeight="1">
      <c r="C163" s="29"/>
      <c r="D163" s="29"/>
      <c r="E163" s="29"/>
      <c r="H163" s="29"/>
      <c r="I163" s="29"/>
      <c r="J163" s="29"/>
      <c r="K163" s="31"/>
      <c r="L163" s="32"/>
      <c r="M163" s="29"/>
      <c r="N163" s="29"/>
      <c r="O163" s="29"/>
      <c r="P163" s="29"/>
      <c r="Q163" s="29"/>
      <c r="R163" s="29"/>
      <c r="S163" s="37"/>
      <c r="T163" s="29"/>
      <c r="U163" s="29"/>
    </row>
    <row r="164" spans="3:21" ht="16.5" customHeight="1">
      <c r="C164" s="29"/>
      <c r="D164" s="29"/>
      <c r="E164" s="29"/>
      <c r="H164" s="29"/>
      <c r="I164" s="29"/>
      <c r="J164" s="29"/>
      <c r="K164" s="31"/>
      <c r="L164" s="32"/>
      <c r="M164" s="29"/>
      <c r="N164" s="29"/>
      <c r="O164" s="29"/>
      <c r="P164" s="29"/>
      <c r="Q164" s="29"/>
      <c r="R164" s="29"/>
      <c r="S164" s="37"/>
      <c r="T164" s="29"/>
      <c r="U164" s="29"/>
    </row>
    <row r="165" spans="3:21" ht="16.5" customHeight="1">
      <c r="C165" s="29"/>
      <c r="D165" s="29"/>
      <c r="E165" s="29"/>
      <c r="H165" s="29"/>
      <c r="I165" s="29"/>
      <c r="J165" s="29"/>
      <c r="K165" s="31"/>
      <c r="L165" s="32"/>
      <c r="M165" s="29"/>
      <c r="N165" s="29"/>
      <c r="O165" s="29"/>
      <c r="P165" s="29"/>
      <c r="Q165" s="29"/>
      <c r="R165" s="29"/>
      <c r="S165" s="37"/>
      <c r="T165" s="29"/>
      <c r="U165" s="29"/>
    </row>
    <row r="166" spans="3:21" ht="16.5" customHeight="1">
      <c r="C166" s="29"/>
      <c r="D166" s="29"/>
      <c r="E166" s="29"/>
      <c r="H166" s="29"/>
      <c r="I166" s="29"/>
      <c r="J166" s="29"/>
      <c r="K166" s="31"/>
      <c r="L166" s="32"/>
      <c r="M166" s="29"/>
      <c r="N166" s="29"/>
      <c r="O166" s="29"/>
      <c r="P166" s="29"/>
      <c r="Q166" s="29"/>
      <c r="R166" s="29"/>
      <c r="S166" s="37"/>
      <c r="T166" s="29"/>
      <c r="U166" s="29"/>
    </row>
    <row r="167" spans="3:21" ht="16.5" customHeight="1">
      <c r="C167" s="29"/>
      <c r="D167" s="29"/>
      <c r="E167" s="29"/>
      <c r="H167" s="29"/>
      <c r="I167" s="29"/>
      <c r="J167" s="29"/>
      <c r="K167" s="31"/>
      <c r="L167" s="32"/>
      <c r="M167" s="29"/>
      <c r="N167" s="29"/>
      <c r="O167" s="29"/>
      <c r="P167" s="29"/>
      <c r="Q167" s="29"/>
      <c r="R167" s="29"/>
      <c r="S167" s="37"/>
      <c r="T167" s="29"/>
      <c r="U167" s="29"/>
    </row>
    <row r="168" spans="3:21" ht="16.5" customHeight="1">
      <c r="C168" s="29"/>
      <c r="D168" s="29"/>
      <c r="E168" s="29"/>
      <c r="H168" s="29"/>
      <c r="I168" s="29"/>
      <c r="J168" s="29"/>
      <c r="K168" s="31"/>
      <c r="L168" s="32"/>
      <c r="M168" s="29"/>
      <c r="N168" s="29"/>
      <c r="O168" s="29"/>
      <c r="P168" s="29"/>
      <c r="Q168" s="29"/>
      <c r="R168" s="29"/>
      <c r="S168" s="37"/>
      <c r="T168" s="29"/>
      <c r="U168" s="29"/>
    </row>
    <row r="169" spans="3:21" ht="16.5" customHeight="1">
      <c r="C169" s="29"/>
      <c r="D169" s="29"/>
      <c r="E169" s="29"/>
      <c r="H169" s="29"/>
      <c r="I169" s="29"/>
      <c r="J169" s="29"/>
      <c r="K169" s="31"/>
      <c r="L169" s="32"/>
      <c r="M169" s="29"/>
      <c r="N169" s="29"/>
      <c r="O169" s="29"/>
      <c r="P169" s="29"/>
      <c r="Q169" s="29"/>
      <c r="R169" s="29"/>
      <c r="S169" s="37"/>
      <c r="T169" s="29"/>
      <c r="U169" s="29"/>
    </row>
    <row r="170" spans="3:21" ht="16.5" customHeight="1">
      <c r="C170" s="29"/>
      <c r="D170" s="29"/>
      <c r="E170" s="29"/>
      <c r="H170" s="29"/>
      <c r="I170" s="29"/>
      <c r="J170" s="29"/>
      <c r="K170" s="31"/>
      <c r="L170" s="32"/>
      <c r="M170" s="29"/>
      <c r="N170" s="29"/>
      <c r="O170" s="29"/>
      <c r="P170" s="29"/>
      <c r="Q170" s="29"/>
      <c r="R170" s="29"/>
      <c r="S170" s="37"/>
      <c r="T170" s="29"/>
      <c r="U170" s="29"/>
    </row>
    <row r="171" spans="3:21" ht="16.5" customHeight="1">
      <c r="C171" s="29"/>
      <c r="D171" s="29"/>
      <c r="E171" s="29"/>
      <c r="H171" s="29"/>
      <c r="I171" s="29"/>
      <c r="J171" s="29"/>
      <c r="K171" s="31"/>
      <c r="L171" s="32"/>
      <c r="M171" s="29"/>
      <c r="N171" s="29"/>
      <c r="O171" s="29"/>
      <c r="P171" s="29"/>
      <c r="Q171" s="29"/>
      <c r="R171" s="29"/>
      <c r="S171" s="37"/>
      <c r="T171" s="29"/>
      <c r="U171" s="29"/>
    </row>
    <row r="172" spans="3:21" ht="16.5" customHeight="1">
      <c r="C172" s="29"/>
      <c r="D172" s="29"/>
      <c r="E172" s="29"/>
      <c r="H172" s="29"/>
      <c r="I172" s="29"/>
      <c r="J172" s="29"/>
      <c r="K172" s="31"/>
      <c r="L172" s="32"/>
      <c r="M172" s="29"/>
      <c r="N172" s="29"/>
      <c r="O172" s="29"/>
      <c r="P172" s="29"/>
      <c r="Q172" s="29"/>
      <c r="R172" s="29"/>
      <c r="S172" s="37"/>
      <c r="T172" s="29"/>
      <c r="U172" s="29"/>
    </row>
    <row r="173" spans="3:21" ht="16.5" customHeight="1">
      <c r="C173" s="29"/>
      <c r="D173" s="29"/>
      <c r="E173" s="29"/>
      <c r="H173" s="29"/>
      <c r="I173" s="29"/>
      <c r="J173" s="29"/>
      <c r="K173" s="31"/>
      <c r="L173" s="32"/>
      <c r="M173" s="29"/>
      <c r="N173" s="29"/>
      <c r="O173" s="29"/>
      <c r="P173" s="29"/>
      <c r="Q173" s="29"/>
      <c r="R173" s="29"/>
      <c r="S173" s="37"/>
      <c r="T173" s="29"/>
      <c r="U173" s="29"/>
    </row>
    <row r="174" spans="3:21" ht="16.5" customHeight="1">
      <c r="C174" s="29"/>
      <c r="D174" s="29"/>
      <c r="E174" s="29"/>
      <c r="H174" s="29"/>
      <c r="I174" s="29"/>
      <c r="J174" s="29"/>
      <c r="K174" s="31"/>
      <c r="L174" s="32"/>
      <c r="M174" s="29"/>
      <c r="N174" s="29"/>
      <c r="O174" s="29"/>
      <c r="P174" s="29"/>
      <c r="Q174" s="29"/>
      <c r="R174" s="29"/>
      <c r="S174" s="37"/>
      <c r="T174" s="29"/>
      <c r="U174" s="29"/>
    </row>
    <row r="175" spans="3:21" ht="16.5" customHeight="1">
      <c r="C175" s="29"/>
      <c r="D175" s="29"/>
      <c r="E175" s="29"/>
      <c r="H175" s="29"/>
      <c r="I175" s="29"/>
      <c r="J175" s="29"/>
      <c r="K175" s="31"/>
      <c r="L175" s="32"/>
      <c r="M175" s="29"/>
      <c r="N175" s="29"/>
      <c r="O175" s="29"/>
      <c r="P175" s="29"/>
      <c r="Q175" s="29"/>
      <c r="R175" s="29"/>
      <c r="S175" s="37"/>
      <c r="T175" s="29"/>
      <c r="U175" s="29"/>
    </row>
    <row r="176" spans="3:21" ht="16.5" customHeight="1">
      <c r="C176" s="29"/>
      <c r="D176" s="29"/>
      <c r="E176" s="29"/>
      <c r="H176" s="29"/>
      <c r="I176" s="29"/>
      <c r="J176" s="29"/>
      <c r="K176" s="31"/>
      <c r="L176" s="32"/>
      <c r="M176" s="29"/>
      <c r="N176" s="29"/>
      <c r="O176" s="29"/>
      <c r="P176" s="29"/>
      <c r="Q176" s="29"/>
      <c r="R176" s="29"/>
      <c r="S176" s="37"/>
      <c r="T176" s="29"/>
      <c r="U176" s="29"/>
    </row>
    <row r="177" spans="3:21" ht="16.5" customHeight="1">
      <c r="C177" s="29"/>
      <c r="D177" s="29"/>
      <c r="E177" s="29"/>
      <c r="H177" s="29"/>
      <c r="I177" s="29"/>
      <c r="J177" s="29"/>
      <c r="K177" s="31"/>
      <c r="L177" s="32"/>
      <c r="M177" s="29"/>
      <c r="N177" s="29"/>
      <c r="O177" s="29"/>
      <c r="P177" s="29"/>
      <c r="Q177" s="29"/>
      <c r="R177" s="29"/>
      <c r="S177" s="37"/>
      <c r="T177" s="29"/>
      <c r="U177" s="29"/>
    </row>
    <row r="178" spans="3:21" ht="16.5" customHeight="1">
      <c r="C178" s="29"/>
      <c r="D178" s="29"/>
      <c r="E178" s="29"/>
      <c r="H178" s="29"/>
      <c r="I178" s="29"/>
      <c r="J178" s="29"/>
      <c r="K178" s="31"/>
      <c r="L178" s="32"/>
      <c r="M178" s="29"/>
      <c r="N178" s="29"/>
      <c r="O178" s="29"/>
      <c r="P178" s="29"/>
      <c r="Q178" s="29"/>
      <c r="R178" s="29"/>
      <c r="S178" s="37"/>
      <c r="T178" s="29"/>
      <c r="U178" s="29"/>
    </row>
    <row r="179" spans="3:21" ht="16.5" customHeight="1">
      <c r="C179" s="29"/>
      <c r="D179" s="29"/>
      <c r="E179" s="29"/>
      <c r="H179" s="29"/>
      <c r="I179" s="29"/>
      <c r="J179" s="29"/>
      <c r="K179" s="31"/>
      <c r="L179" s="32"/>
      <c r="M179" s="29"/>
      <c r="N179" s="29"/>
      <c r="O179" s="29"/>
      <c r="P179" s="29"/>
      <c r="Q179" s="29"/>
      <c r="R179" s="29"/>
      <c r="S179" s="37"/>
      <c r="T179" s="29"/>
      <c r="U179" s="29"/>
    </row>
    <row r="180" spans="3:21" ht="16.5" customHeight="1">
      <c r="C180" s="29"/>
      <c r="D180" s="29"/>
      <c r="E180" s="29"/>
      <c r="H180" s="29"/>
      <c r="I180" s="29"/>
      <c r="J180" s="29"/>
      <c r="K180" s="31"/>
      <c r="L180" s="32"/>
      <c r="M180" s="29"/>
      <c r="N180" s="29"/>
      <c r="O180" s="29"/>
      <c r="P180" s="29"/>
      <c r="Q180" s="29"/>
      <c r="R180" s="29"/>
      <c r="S180" s="37"/>
      <c r="T180" s="29"/>
      <c r="U180" s="29"/>
    </row>
    <row r="181" spans="3:21" ht="16.5" customHeight="1">
      <c r="C181" s="29"/>
      <c r="D181" s="29"/>
      <c r="E181" s="29"/>
      <c r="H181" s="29"/>
      <c r="I181" s="29"/>
      <c r="J181" s="29"/>
      <c r="K181" s="31"/>
      <c r="L181" s="32"/>
      <c r="M181" s="29"/>
      <c r="N181" s="29"/>
      <c r="O181" s="29"/>
      <c r="P181" s="29"/>
      <c r="Q181" s="29"/>
      <c r="R181" s="29"/>
      <c r="S181" s="37"/>
      <c r="T181" s="29"/>
      <c r="U181" s="29"/>
    </row>
    <row r="182" spans="3:21" ht="16.5" customHeight="1">
      <c r="C182" s="29"/>
      <c r="D182" s="29"/>
      <c r="E182" s="29"/>
      <c r="H182" s="29"/>
      <c r="I182" s="29"/>
      <c r="J182" s="29"/>
      <c r="K182" s="31"/>
      <c r="L182" s="32"/>
      <c r="M182" s="29"/>
      <c r="N182" s="29"/>
      <c r="O182" s="29"/>
      <c r="P182" s="29"/>
      <c r="Q182" s="29"/>
      <c r="R182" s="29"/>
      <c r="S182" s="37"/>
      <c r="T182" s="29"/>
      <c r="U182" s="29"/>
    </row>
    <row r="183" spans="3:21" ht="16.5" customHeight="1">
      <c r="C183" s="29"/>
      <c r="D183" s="29"/>
      <c r="E183" s="29"/>
      <c r="H183" s="29"/>
      <c r="I183" s="29"/>
      <c r="J183" s="29"/>
      <c r="K183" s="31"/>
      <c r="L183" s="32"/>
      <c r="M183" s="29"/>
      <c r="N183" s="29"/>
      <c r="O183" s="29"/>
      <c r="P183" s="29"/>
      <c r="Q183" s="29"/>
      <c r="R183" s="29"/>
      <c r="S183" s="37"/>
      <c r="T183" s="29"/>
      <c r="U183" s="29"/>
    </row>
    <row r="184" spans="3:21" ht="16.5" customHeight="1">
      <c r="C184" s="29"/>
      <c r="D184" s="29"/>
      <c r="E184" s="29"/>
      <c r="H184" s="29"/>
      <c r="I184" s="29"/>
      <c r="J184" s="29"/>
      <c r="K184" s="31"/>
      <c r="L184" s="32"/>
      <c r="M184" s="29"/>
      <c r="N184" s="29"/>
      <c r="O184" s="29"/>
      <c r="P184" s="29"/>
      <c r="Q184" s="29"/>
      <c r="R184" s="29"/>
      <c r="S184" s="37"/>
      <c r="T184" s="29"/>
      <c r="U184" s="29"/>
    </row>
    <row r="185" spans="3:21" ht="16.5" customHeight="1">
      <c r="C185" s="29"/>
      <c r="D185" s="29"/>
      <c r="E185" s="29"/>
      <c r="H185" s="29"/>
      <c r="I185" s="29"/>
      <c r="J185" s="29"/>
      <c r="K185" s="31"/>
      <c r="L185" s="32"/>
      <c r="M185" s="29"/>
      <c r="N185" s="29"/>
      <c r="O185" s="29"/>
      <c r="P185" s="29"/>
      <c r="Q185" s="29"/>
      <c r="R185" s="29"/>
      <c r="S185" s="37"/>
      <c r="T185" s="29"/>
      <c r="U185" s="29"/>
    </row>
    <row r="186" spans="3:21" ht="16.5" customHeight="1">
      <c r="C186" s="29"/>
      <c r="D186" s="29"/>
      <c r="E186" s="29"/>
      <c r="H186" s="29"/>
      <c r="I186" s="29"/>
      <c r="J186" s="29"/>
      <c r="K186" s="31"/>
      <c r="L186" s="32"/>
      <c r="M186" s="29"/>
      <c r="N186" s="29"/>
      <c r="O186" s="29"/>
      <c r="P186" s="29"/>
      <c r="Q186" s="29"/>
      <c r="R186" s="29"/>
      <c r="S186" s="37"/>
      <c r="T186" s="29"/>
      <c r="U186" s="29"/>
    </row>
    <row r="187" spans="3:21" ht="16.5" customHeight="1">
      <c r="C187" s="29"/>
      <c r="D187" s="29"/>
      <c r="E187" s="29"/>
      <c r="H187" s="29"/>
      <c r="I187" s="29"/>
      <c r="J187" s="29"/>
      <c r="K187" s="31"/>
      <c r="L187" s="32"/>
      <c r="M187" s="29"/>
      <c r="N187" s="29"/>
      <c r="O187" s="29"/>
      <c r="P187" s="29"/>
      <c r="Q187" s="29"/>
      <c r="R187" s="29"/>
      <c r="S187" s="37"/>
      <c r="T187" s="29"/>
      <c r="U187" s="29"/>
    </row>
    <row r="188" spans="3:21" ht="16.5" customHeight="1">
      <c r="C188" s="29"/>
      <c r="D188" s="29"/>
      <c r="E188" s="29"/>
      <c r="H188" s="29"/>
      <c r="I188" s="29"/>
      <c r="J188" s="29"/>
      <c r="K188" s="31"/>
      <c r="L188" s="32"/>
      <c r="M188" s="29"/>
      <c r="N188" s="29"/>
      <c r="O188" s="29"/>
      <c r="P188" s="29"/>
      <c r="Q188" s="29"/>
      <c r="R188" s="29"/>
      <c r="S188" s="37"/>
      <c r="T188" s="29"/>
      <c r="U188" s="29"/>
    </row>
    <row r="189" spans="3:21" ht="16.5" customHeight="1">
      <c r="C189" s="29"/>
      <c r="D189" s="29"/>
      <c r="E189" s="29"/>
      <c r="H189" s="29"/>
      <c r="I189" s="29"/>
      <c r="J189" s="29"/>
      <c r="K189" s="31"/>
      <c r="L189" s="32"/>
      <c r="M189" s="29"/>
      <c r="N189" s="29"/>
      <c r="O189" s="29"/>
      <c r="P189" s="29"/>
      <c r="Q189" s="29"/>
      <c r="R189" s="29"/>
      <c r="S189" s="37"/>
      <c r="T189" s="29"/>
      <c r="U189" s="29"/>
    </row>
    <row r="190" spans="3:21" ht="16.5" customHeight="1">
      <c r="C190" s="29"/>
      <c r="D190" s="29"/>
      <c r="E190" s="29"/>
      <c r="H190" s="29"/>
      <c r="I190" s="29"/>
      <c r="J190" s="29"/>
      <c r="K190" s="31"/>
      <c r="L190" s="32"/>
      <c r="M190" s="29"/>
      <c r="N190" s="29"/>
      <c r="O190" s="29"/>
      <c r="P190" s="29"/>
      <c r="Q190" s="29"/>
      <c r="R190" s="29"/>
      <c r="S190" s="37"/>
      <c r="T190" s="29"/>
      <c r="U190" s="29"/>
    </row>
    <row r="191" spans="3:21" ht="16.5" customHeight="1">
      <c r="C191" s="29"/>
      <c r="D191" s="29"/>
      <c r="E191" s="29"/>
      <c r="H191" s="29"/>
      <c r="I191" s="29"/>
      <c r="J191" s="29"/>
      <c r="K191" s="31"/>
      <c r="L191" s="32"/>
      <c r="M191" s="29"/>
      <c r="N191" s="29"/>
      <c r="O191" s="29"/>
      <c r="P191" s="29"/>
      <c r="Q191" s="29"/>
      <c r="R191" s="29"/>
      <c r="S191" s="37"/>
      <c r="T191" s="29"/>
      <c r="U191" s="29"/>
    </row>
    <row r="192" spans="3:21" ht="16.5" customHeight="1">
      <c r="C192" s="29"/>
      <c r="D192" s="29"/>
      <c r="E192" s="29"/>
      <c r="H192" s="29"/>
      <c r="I192" s="29"/>
      <c r="J192" s="29"/>
      <c r="K192" s="31"/>
      <c r="L192" s="32"/>
      <c r="M192" s="29"/>
      <c r="N192" s="29"/>
      <c r="O192" s="29"/>
      <c r="P192" s="29"/>
      <c r="Q192" s="29"/>
      <c r="R192" s="29"/>
      <c r="S192" s="37"/>
      <c r="T192" s="29"/>
      <c r="U192" s="29"/>
    </row>
    <row r="193" spans="3:21" ht="16.5" customHeight="1">
      <c r="C193" s="29"/>
      <c r="D193" s="29"/>
      <c r="E193" s="29"/>
      <c r="H193" s="29"/>
      <c r="I193" s="29"/>
      <c r="J193" s="29"/>
      <c r="K193" s="31"/>
      <c r="L193" s="32"/>
      <c r="M193" s="29"/>
      <c r="N193" s="29"/>
      <c r="O193" s="29"/>
      <c r="P193" s="29"/>
      <c r="Q193" s="29"/>
      <c r="R193" s="29"/>
      <c r="S193" s="37"/>
      <c r="T193" s="29"/>
      <c r="U193" s="29"/>
    </row>
    <row r="194" spans="3:21" ht="16.5" customHeight="1">
      <c r="C194" s="29"/>
      <c r="D194" s="29"/>
      <c r="E194" s="29"/>
      <c r="H194" s="29"/>
      <c r="I194" s="29"/>
      <c r="J194" s="29"/>
      <c r="K194" s="31"/>
      <c r="L194" s="32"/>
      <c r="M194" s="29"/>
      <c r="N194" s="29"/>
      <c r="O194" s="29"/>
      <c r="P194" s="29"/>
      <c r="Q194" s="29"/>
      <c r="R194" s="29"/>
      <c r="S194" s="37"/>
      <c r="T194" s="29"/>
      <c r="U194" s="29"/>
    </row>
    <row r="195" spans="3:21" ht="16.5" customHeight="1">
      <c r="C195" s="29"/>
      <c r="D195" s="29"/>
      <c r="E195" s="29"/>
      <c r="H195" s="29"/>
      <c r="I195" s="29"/>
      <c r="J195" s="29"/>
      <c r="K195" s="31"/>
      <c r="L195" s="32"/>
      <c r="M195" s="29"/>
      <c r="N195" s="29"/>
      <c r="O195" s="29"/>
      <c r="P195" s="29"/>
      <c r="Q195" s="29"/>
      <c r="R195" s="29"/>
      <c r="S195" s="37"/>
      <c r="T195" s="29"/>
      <c r="U195" s="29"/>
    </row>
    <row r="196" spans="3:21" ht="16.5" customHeight="1">
      <c r="C196" s="29"/>
      <c r="D196" s="29"/>
      <c r="E196" s="29"/>
      <c r="H196" s="29"/>
      <c r="I196" s="29"/>
      <c r="J196" s="29"/>
      <c r="K196" s="31"/>
      <c r="L196" s="32"/>
      <c r="M196" s="29"/>
      <c r="N196" s="29"/>
      <c r="O196" s="29"/>
      <c r="P196" s="29"/>
      <c r="Q196" s="29"/>
      <c r="R196" s="29"/>
      <c r="S196" s="37"/>
      <c r="T196" s="29"/>
      <c r="U196" s="29"/>
    </row>
    <row r="197" spans="3:21" ht="16.5" customHeight="1">
      <c r="C197" s="29"/>
      <c r="D197" s="29"/>
      <c r="E197" s="29"/>
      <c r="H197" s="29"/>
      <c r="I197" s="29"/>
      <c r="J197" s="29"/>
      <c r="K197" s="31"/>
      <c r="L197" s="32"/>
      <c r="M197" s="29"/>
      <c r="N197" s="29"/>
      <c r="O197" s="29"/>
      <c r="P197" s="29"/>
      <c r="Q197" s="29"/>
      <c r="R197" s="29"/>
      <c r="S197" s="37"/>
      <c r="T197" s="29"/>
      <c r="U197" s="29"/>
    </row>
    <row r="198" spans="3:21" ht="16.5" customHeight="1">
      <c r="C198" s="29"/>
      <c r="D198" s="29"/>
      <c r="E198" s="29"/>
      <c r="H198" s="29"/>
      <c r="I198" s="29"/>
      <c r="J198" s="29"/>
      <c r="K198" s="31"/>
      <c r="L198" s="32"/>
      <c r="M198" s="29"/>
      <c r="N198" s="29"/>
      <c r="O198" s="29"/>
      <c r="P198" s="29"/>
      <c r="Q198" s="29"/>
      <c r="R198" s="29"/>
      <c r="S198" s="37"/>
      <c r="T198" s="29"/>
      <c r="U198" s="29"/>
    </row>
    <row r="199" spans="3:21" ht="16.5" customHeight="1">
      <c r="C199" s="29"/>
      <c r="D199" s="29"/>
      <c r="E199" s="29"/>
      <c r="H199" s="29"/>
      <c r="I199" s="29"/>
      <c r="J199" s="29"/>
      <c r="K199" s="31"/>
      <c r="L199" s="32"/>
      <c r="M199" s="29"/>
      <c r="N199" s="29"/>
      <c r="O199" s="29"/>
      <c r="P199" s="29"/>
      <c r="Q199" s="29"/>
      <c r="R199" s="29"/>
      <c r="S199" s="37"/>
      <c r="T199" s="29"/>
      <c r="U199" s="29"/>
    </row>
    <row r="200" spans="3:21" ht="16.5" customHeight="1">
      <c r="C200" s="29"/>
      <c r="D200" s="29"/>
      <c r="E200" s="29"/>
      <c r="H200" s="29"/>
      <c r="I200" s="29"/>
      <c r="J200" s="29"/>
      <c r="K200" s="31"/>
      <c r="L200" s="32"/>
      <c r="M200" s="29"/>
      <c r="N200" s="29"/>
      <c r="O200" s="29"/>
      <c r="P200" s="29"/>
      <c r="Q200" s="29"/>
      <c r="R200" s="29"/>
      <c r="S200" s="37"/>
      <c r="T200" s="29"/>
      <c r="U200" s="29"/>
    </row>
    <row r="201" spans="3:21" ht="16.5" customHeight="1">
      <c r="C201" s="29"/>
      <c r="D201" s="29"/>
      <c r="E201" s="29"/>
      <c r="H201" s="29"/>
      <c r="I201" s="29"/>
      <c r="J201" s="29"/>
      <c r="K201" s="31"/>
      <c r="L201" s="32"/>
      <c r="M201" s="29"/>
      <c r="N201" s="29"/>
      <c r="O201" s="29"/>
      <c r="P201" s="29"/>
      <c r="Q201" s="29"/>
      <c r="R201" s="29"/>
      <c r="S201" s="37"/>
      <c r="T201" s="29"/>
      <c r="U201" s="29"/>
    </row>
    <row r="202" spans="3:21" ht="16.5" customHeight="1">
      <c r="C202" s="29"/>
      <c r="D202" s="29"/>
      <c r="E202" s="29"/>
      <c r="H202" s="29"/>
      <c r="I202" s="29"/>
      <c r="J202" s="29"/>
      <c r="K202" s="31"/>
      <c r="L202" s="32"/>
      <c r="M202" s="29"/>
      <c r="N202" s="29"/>
      <c r="O202" s="29"/>
      <c r="P202" s="29"/>
      <c r="Q202" s="29"/>
      <c r="R202" s="29"/>
      <c r="S202" s="37"/>
      <c r="T202" s="29"/>
      <c r="U202" s="29"/>
    </row>
    <row r="203" spans="3:21" ht="16.5" customHeight="1">
      <c r="C203" s="29"/>
      <c r="D203" s="29"/>
      <c r="E203" s="29"/>
      <c r="H203" s="29"/>
      <c r="I203" s="29"/>
      <c r="J203" s="29"/>
      <c r="K203" s="31"/>
      <c r="L203" s="32"/>
      <c r="M203" s="29"/>
      <c r="N203" s="29"/>
      <c r="O203" s="29"/>
      <c r="P203" s="29"/>
      <c r="Q203" s="29"/>
      <c r="R203" s="29"/>
      <c r="S203" s="37"/>
      <c r="T203" s="29"/>
      <c r="U203" s="29"/>
    </row>
    <row r="204" spans="3:21" ht="16.5" customHeight="1">
      <c r="C204" s="29"/>
      <c r="D204" s="29"/>
      <c r="E204" s="29"/>
      <c r="H204" s="29"/>
      <c r="I204" s="29"/>
      <c r="J204" s="29"/>
      <c r="K204" s="31"/>
      <c r="L204" s="32"/>
      <c r="M204" s="29"/>
      <c r="N204" s="29"/>
      <c r="O204" s="29"/>
      <c r="P204" s="29"/>
      <c r="Q204" s="29"/>
      <c r="R204" s="29"/>
      <c r="S204" s="37"/>
      <c r="T204" s="29"/>
      <c r="U204" s="29"/>
    </row>
    <row r="205" spans="3:21" ht="16.5" customHeight="1">
      <c r="C205" s="29"/>
      <c r="D205" s="29"/>
      <c r="E205" s="29"/>
      <c r="H205" s="29"/>
      <c r="I205" s="29"/>
      <c r="J205" s="29"/>
      <c r="K205" s="31"/>
      <c r="L205" s="32"/>
      <c r="M205" s="29"/>
      <c r="N205" s="29"/>
      <c r="O205" s="29"/>
      <c r="P205" s="29"/>
      <c r="Q205" s="29"/>
      <c r="R205" s="29"/>
      <c r="S205" s="37"/>
      <c r="T205" s="29"/>
      <c r="U205" s="29"/>
    </row>
    <row r="206" spans="3:21" ht="16.5" customHeight="1">
      <c r="C206" s="29"/>
      <c r="D206" s="29"/>
      <c r="E206" s="29"/>
      <c r="H206" s="29"/>
      <c r="I206" s="29"/>
      <c r="J206" s="29"/>
      <c r="K206" s="31"/>
      <c r="L206" s="32"/>
      <c r="M206" s="29"/>
      <c r="N206" s="29"/>
      <c r="O206" s="29"/>
      <c r="P206" s="29"/>
      <c r="Q206" s="29"/>
      <c r="R206" s="29"/>
      <c r="S206" s="37"/>
      <c r="T206" s="29"/>
      <c r="U206" s="29"/>
    </row>
    <row r="207" spans="3:21" ht="16.5" customHeight="1">
      <c r="C207" s="29"/>
      <c r="D207" s="29"/>
      <c r="E207" s="29"/>
      <c r="H207" s="29"/>
      <c r="I207" s="29"/>
      <c r="J207" s="29"/>
      <c r="K207" s="31"/>
      <c r="L207" s="32"/>
      <c r="M207" s="29"/>
      <c r="N207" s="29"/>
      <c r="O207" s="29"/>
      <c r="P207" s="29"/>
      <c r="Q207" s="29"/>
      <c r="R207" s="29"/>
      <c r="S207" s="37"/>
      <c r="T207" s="29"/>
      <c r="U207" s="29"/>
    </row>
    <row r="208" spans="3:21" ht="16.5" customHeight="1">
      <c r="C208" s="29"/>
      <c r="D208" s="29"/>
      <c r="E208" s="29"/>
      <c r="H208" s="29"/>
      <c r="I208" s="29"/>
      <c r="J208" s="29"/>
      <c r="K208" s="31"/>
      <c r="L208" s="32"/>
      <c r="M208" s="29"/>
      <c r="N208" s="29"/>
      <c r="O208" s="29"/>
      <c r="P208" s="29"/>
      <c r="Q208" s="29"/>
      <c r="R208" s="29"/>
      <c r="S208" s="37"/>
      <c r="T208" s="29"/>
      <c r="U208" s="29"/>
    </row>
    <row r="209" spans="3:21" ht="16.5" customHeight="1">
      <c r="C209" s="29"/>
      <c r="D209" s="29"/>
      <c r="E209" s="29"/>
      <c r="H209" s="29"/>
      <c r="I209" s="29"/>
      <c r="J209" s="29"/>
      <c r="K209" s="31"/>
      <c r="L209" s="32"/>
      <c r="M209" s="29"/>
      <c r="N209" s="29"/>
      <c r="O209" s="29"/>
      <c r="P209" s="29"/>
      <c r="Q209" s="29"/>
      <c r="R209" s="29"/>
      <c r="S209" s="37"/>
      <c r="T209" s="29"/>
      <c r="U209" s="29"/>
    </row>
    <row r="210" spans="3:21" ht="16.5" customHeight="1">
      <c r="C210" s="29"/>
      <c r="D210" s="29"/>
      <c r="E210" s="29"/>
      <c r="H210" s="29"/>
      <c r="I210" s="29"/>
      <c r="J210" s="29"/>
      <c r="K210" s="31"/>
      <c r="L210" s="32"/>
      <c r="M210" s="29"/>
      <c r="N210" s="29"/>
      <c r="O210" s="29"/>
      <c r="P210" s="29"/>
      <c r="Q210" s="29"/>
      <c r="R210" s="29"/>
      <c r="S210" s="37"/>
      <c r="T210" s="29"/>
      <c r="U210" s="29"/>
    </row>
    <row r="211" spans="3:21" ht="16.5" customHeight="1">
      <c r="C211" s="29"/>
      <c r="D211" s="29"/>
      <c r="E211" s="29"/>
      <c r="H211" s="29"/>
      <c r="I211" s="29"/>
      <c r="J211" s="29"/>
      <c r="K211" s="31"/>
      <c r="L211" s="32"/>
      <c r="M211" s="29"/>
      <c r="N211" s="29"/>
      <c r="O211" s="29"/>
      <c r="P211" s="29"/>
      <c r="Q211" s="29"/>
      <c r="R211" s="29"/>
      <c r="S211" s="37"/>
      <c r="T211" s="29"/>
      <c r="U211" s="29"/>
    </row>
    <row r="212" spans="3:21" ht="16.5" customHeight="1">
      <c r="C212" s="29"/>
      <c r="D212" s="29"/>
      <c r="E212" s="29"/>
      <c r="H212" s="29"/>
      <c r="I212" s="29"/>
      <c r="J212" s="29"/>
      <c r="K212" s="31"/>
      <c r="L212" s="32"/>
      <c r="M212" s="29"/>
      <c r="N212" s="29"/>
      <c r="O212" s="29"/>
      <c r="P212" s="29"/>
      <c r="Q212" s="29"/>
      <c r="R212" s="29"/>
      <c r="S212" s="37"/>
      <c r="T212" s="29"/>
      <c r="U212" s="29"/>
    </row>
    <row r="213" spans="3:21" ht="16.5" customHeight="1">
      <c r="C213" s="29"/>
      <c r="D213" s="29"/>
      <c r="E213" s="29"/>
      <c r="H213" s="29"/>
      <c r="I213" s="29"/>
      <c r="J213" s="29"/>
      <c r="K213" s="31"/>
      <c r="L213" s="32"/>
      <c r="M213" s="29"/>
      <c r="N213" s="29"/>
      <c r="O213" s="29"/>
      <c r="P213" s="29"/>
      <c r="Q213" s="29"/>
      <c r="R213" s="29"/>
      <c r="S213" s="37"/>
      <c r="T213" s="29"/>
      <c r="U213" s="29"/>
    </row>
    <row r="214" spans="3:21" ht="16.5" customHeight="1">
      <c r="C214" s="29"/>
      <c r="D214" s="29"/>
      <c r="E214" s="29"/>
      <c r="H214" s="29"/>
      <c r="I214" s="29"/>
      <c r="J214" s="29"/>
      <c r="K214" s="31"/>
      <c r="L214" s="32"/>
      <c r="M214" s="29"/>
      <c r="N214" s="29"/>
      <c r="O214" s="29"/>
      <c r="P214" s="29"/>
      <c r="Q214" s="29"/>
      <c r="R214" s="29"/>
      <c r="S214" s="37"/>
      <c r="T214" s="29"/>
      <c r="U214" s="29"/>
    </row>
    <row r="215" spans="3:21" ht="16.5" customHeight="1">
      <c r="C215" s="29"/>
      <c r="D215" s="29"/>
      <c r="E215" s="29"/>
      <c r="H215" s="29"/>
      <c r="I215" s="29"/>
      <c r="J215" s="29"/>
      <c r="K215" s="31"/>
      <c r="L215" s="32"/>
      <c r="M215" s="29"/>
      <c r="N215" s="29"/>
      <c r="O215" s="29"/>
      <c r="P215" s="29"/>
      <c r="Q215" s="29"/>
      <c r="R215" s="29"/>
      <c r="S215" s="37"/>
      <c r="T215" s="29"/>
      <c r="U215" s="29"/>
    </row>
    <row r="216" spans="3:21" ht="16.5" customHeight="1">
      <c r="C216" s="29"/>
      <c r="D216" s="29"/>
      <c r="E216" s="29"/>
      <c r="H216" s="29"/>
      <c r="I216" s="29"/>
      <c r="J216" s="29"/>
      <c r="K216" s="31"/>
      <c r="L216" s="32"/>
      <c r="M216" s="29"/>
      <c r="N216" s="29"/>
      <c r="O216" s="29"/>
      <c r="P216" s="29"/>
      <c r="Q216" s="29"/>
      <c r="R216" s="29"/>
      <c r="S216" s="37"/>
      <c r="T216" s="29"/>
      <c r="U216" s="29"/>
    </row>
    <row r="217" spans="3:21" ht="16.5" customHeight="1">
      <c r="C217" s="29"/>
      <c r="D217" s="29"/>
      <c r="E217" s="29"/>
      <c r="H217" s="29"/>
      <c r="I217" s="29"/>
      <c r="J217" s="29"/>
      <c r="K217" s="31"/>
      <c r="L217" s="32"/>
      <c r="M217" s="29"/>
      <c r="N217" s="29"/>
      <c r="O217" s="29"/>
      <c r="P217" s="29"/>
      <c r="Q217" s="29"/>
      <c r="R217" s="29"/>
      <c r="S217" s="37"/>
      <c r="T217" s="29"/>
      <c r="U217" s="29"/>
    </row>
    <row r="218" spans="3:21" ht="16.5" customHeight="1">
      <c r="C218" s="29"/>
      <c r="D218" s="29"/>
      <c r="E218" s="29"/>
      <c r="H218" s="29"/>
      <c r="I218" s="29"/>
      <c r="J218" s="29"/>
      <c r="K218" s="31"/>
      <c r="L218" s="32"/>
      <c r="M218" s="29"/>
      <c r="N218" s="29"/>
      <c r="O218" s="29"/>
      <c r="P218" s="29"/>
      <c r="Q218" s="29"/>
      <c r="R218" s="29"/>
      <c r="S218" s="37"/>
      <c r="T218" s="29"/>
      <c r="U218" s="29"/>
    </row>
    <row r="219" spans="3:21" ht="16.5" customHeight="1">
      <c r="C219" s="29"/>
      <c r="D219" s="29"/>
      <c r="E219" s="29"/>
      <c r="H219" s="29"/>
      <c r="I219" s="29"/>
      <c r="J219" s="29"/>
      <c r="K219" s="31"/>
      <c r="L219" s="32"/>
      <c r="M219" s="29"/>
      <c r="N219" s="29"/>
      <c r="O219" s="29"/>
      <c r="P219" s="29"/>
      <c r="Q219" s="29"/>
      <c r="R219" s="29"/>
      <c r="S219" s="37"/>
      <c r="T219" s="29"/>
      <c r="U219" s="29"/>
    </row>
    <row r="220" spans="3:21" ht="16.5" customHeight="1">
      <c r="C220" s="29"/>
      <c r="D220" s="29"/>
      <c r="E220" s="29"/>
      <c r="H220" s="29"/>
      <c r="I220" s="29"/>
      <c r="J220" s="29"/>
      <c r="K220" s="31"/>
      <c r="L220" s="32"/>
      <c r="M220" s="29"/>
      <c r="N220" s="29"/>
      <c r="O220" s="29"/>
      <c r="P220" s="29"/>
      <c r="Q220" s="29"/>
      <c r="R220" s="29"/>
      <c r="S220" s="37"/>
      <c r="T220" s="29"/>
      <c r="U220" s="29"/>
    </row>
    <row r="221" spans="3:21" ht="16.5" customHeight="1">
      <c r="C221" s="29"/>
      <c r="D221" s="29"/>
      <c r="E221" s="29"/>
      <c r="H221" s="29"/>
      <c r="I221" s="29"/>
      <c r="J221" s="29"/>
      <c r="K221" s="31"/>
      <c r="L221" s="32"/>
      <c r="M221" s="29"/>
      <c r="N221" s="29"/>
      <c r="O221" s="29"/>
      <c r="P221" s="29"/>
      <c r="Q221" s="29"/>
      <c r="R221" s="29"/>
      <c r="S221" s="37"/>
      <c r="T221" s="29"/>
      <c r="U221" s="29"/>
    </row>
    <row r="222" spans="3:21" ht="16.5" customHeight="1">
      <c r="C222" s="29"/>
      <c r="D222" s="29"/>
      <c r="E222" s="29"/>
      <c r="H222" s="29"/>
      <c r="I222" s="29"/>
      <c r="J222" s="29"/>
      <c r="K222" s="31"/>
      <c r="L222" s="32"/>
      <c r="M222" s="29"/>
      <c r="N222" s="29"/>
      <c r="O222" s="29"/>
      <c r="P222" s="29"/>
      <c r="Q222" s="29"/>
      <c r="R222" s="29"/>
      <c r="S222" s="37"/>
      <c r="T222" s="29"/>
      <c r="U222" s="29"/>
    </row>
    <row r="223" spans="3:21" ht="16.5" customHeight="1">
      <c r="C223" s="29"/>
      <c r="D223" s="29"/>
      <c r="E223" s="29"/>
      <c r="H223" s="29"/>
      <c r="I223" s="29"/>
      <c r="J223" s="29"/>
      <c r="K223" s="31"/>
      <c r="L223" s="32"/>
      <c r="M223" s="29"/>
      <c r="N223" s="29"/>
      <c r="O223" s="29"/>
      <c r="P223" s="29"/>
      <c r="Q223" s="29"/>
      <c r="R223" s="29"/>
      <c r="S223" s="37"/>
      <c r="T223" s="29"/>
      <c r="U223" s="29"/>
    </row>
    <row r="224" spans="3:21" ht="16.5" customHeight="1">
      <c r="C224" s="29"/>
      <c r="D224" s="29"/>
      <c r="E224" s="29"/>
      <c r="H224" s="29"/>
      <c r="I224" s="29"/>
      <c r="J224" s="29"/>
      <c r="K224" s="31"/>
      <c r="L224" s="32"/>
      <c r="M224" s="29"/>
      <c r="N224" s="29"/>
      <c r="O224" s="29"/>
      <c r="P224" s="29"/>
      <c r="Q224" s="29"/>
      <c r="R224" s="29"/>
      <c r="S224" s="37"/>
      <c r="T224" s="29"/>
      <c r="U224" s="29"/>
    </row>
    <row r="225" spans="3:21" ht="16.5" customHeight="1">
      <c r="C225" s="29"/>
      <c r="D225" s="29"/>
      <c r="E225" s="29"/>
      <c r="H225" s="29"/>
      <c r="I225" s="29"/>
      <c r="J225" s="29"/>
      <c r="K225" s="31"/>
      <c r="L225" s="32"/>
      <c r="M225" s="29"/>
      <c r="N225" s="29"/>
      <c r="O225" s="29"/>
      <c r="P225" s="29"/>
      <c r="Q225" s="29"/>
      <c r="R225" s="29"/>
      <c r="S225" s="37"/>
      <c r="T225" s="29"/>
      <c r="U225" s="29"/>
    </row>
    <row r="226" spans="3:21" ht="16.5" customHeight="1">
      <c r="C226" s="29"/>
      <c r="D226" s="29"/>
      <c r="E226" s="29"/>
      <c r="H226" s="29"/>
      <c r="I226" s="29"/>
      <c r="J226" s="29"/>
      <c r="K226" s="31"/>
      <c r="L226" s="32"/>
      <c r="M226" s="29"/>
      <c r="N226" s="29"/>
      <c r="O226" s="29"/>
      <c r="P226" s="29"/>
      <c r="Q226" s="29"/>
      <c r="R226" s="29"/>
      <c r="S226" s="37"/>
      <c r="T226" s="29"/>
      <c r="U226" s="29"/>
    </row>
    <row r="227" spans="3:21" ht="16.5" customHeight="1">
      <c r="C227" s="29"/>
      <c r="D227" s="29"/>
      <c r="E227" s="29"/>
      <c r="H227" s="29"/>
      <c r="I227" s="29"/>
      <c r="J227" s="29"/>
      <c r="K227" s="31"/>
      <c r="L227" s="32"/>
      <c r="M227" s="29"/>
      <c r="N227" s="29"/>
      <c r="O227" s="29"/>
      <c r="P227" s="29"/>
      <c r="Q227" s="29"/>
      <c r="R227" s="29"/>
      <c r="S227" s="37"/>
      <c r="T227" s="29"/>
      <c r="U227" s="29"/>
    </row>
    <row r="228" spans="3:21" ht="16.5" customHeight="1">
      <c r="C228" s="29"/>
      <c r="D228" s="29"/>
      <c r="E228" s="29"/>
      <c r="H228" s="29"/>
      <c r="I228" s="29"/>
      <c r="J228" s="29"/>
      <c r="K228" s="31"/>
      <c r="L228" s="32"/>
      <c r="M228" s="29"/>
      <c r="N228" s="29"/>
      <c r="O228" s="29"/>
      <c r="P228" s="29"/>
      <c r="Q228" s="29"/>
      <c r="R228" s="29"/>
      <c r="S228" s="37"/>
      <c r="T228" s="29"/>
      <c r="U228" s="29"/>
    </row>
    <row r="229" spans="3:21" ht="16.5" customHeight="1">
      <c r="C229" s="29"/>
      <c r="D229" s="29"/>
      <c r="E229" s="29"/>
      <c r="H229" s="29"/>
      <c r="I229" s="29"/>
      <c r="J229" s="29"/>
      <c r="K229" s="31"/>
      <c r="L229" s="32"/>
      <c r="M229" s="29"/>
      <c r="N229" s="29"/>
      <c r="O229" s="29"/>
      <c r="P229" s="29"/>
      <c r="Q229" s="29"/>
      <c r="R229" s="29"/>
      <c r="S229" s="37"/>
      <c r="T229" s="29"/>
      <c r="U229" s="29"/>
    </row>
    <row r="230" spans="3:21" ht="16.5" customHeight="1">
      <c r="C230" s="29"/>
      <c r="D230" s="29"/>
      <c r="E230" s="29"/>
      <c r="H230" s="29"/>
      <c r="I230" s="29"/>
      <c r="J230" s="29"/>
      <c r="K230" s="31"/>
      <c r="L230" s="32"/>
      <c r="M230" s="29"/>
      <c r="N230" s="29"/>
      <c r="O230" s="29"/>
      <c r="P230" s="29"/>
      <c r="Q230" s="29"/>
      <c r="R230" s="29"/>
      <c r="S230" s="37"/>
      <c r="T230" s="29"/>
      <c r="U230" s="29"/>
    </row>
    <row r="231" spans="3:21" ht="16.5" customHeight="1">
      <c r="C231" s="29"/>
      <c r="D231" s="29"/>
      <c r="E231" s="29"/>
      <c r="H231" s="29"/>
      <c r="I231" s="29"/>
      <c r="J231" s="29"/>
      <c r="K231" s="31"/>
      <c r="L231" s="32"/>
      <c r="M231" s="29"/>
      <c r="N231" s="29"/>
      <c r="O231" s="29"/>
      <c r="P231" s="29"/>
      <c r="Q231" s="29"/>
      <c r="R231" s="29"/>
      <c r="S231" s="37"/>
      <c r="T231" s="29"/>
      <c r="U231" s="29"/>
    </row>
    <row r="232" spans="3:21" ht="16.5" customHeight="1">
      <c r="C232" s="29"/>
      <c r="D232" s="29"/>
      <c r="E232" s="29"/>
      <c r="H232" s="29"/>
      <c r="I232" s="29"/>
      <c r="J232" s="29"/>
      <c r="K232" s="31"/>
      <c r="L232" s="32"/>
      <c r="M232" s="29"/>
      <c r="N232" s="29"/>
      <c r="O232" s="29"/>
      <c r="P232" s="29"/>
      <c r="Q232" s="29"/>
      <c r="R232" s="29"/>
      <c r="S232" s="37"/>
      <c r="T232" s="29"/>
      <c r="U232" s="29"/>
    </row>
    <row r="233" spans="3:21" ht="16.5" customHeight="1">
      <c r="C233" s="29"/>
      <c r="D233" s="29"/>
      <c r="E233" s="29"/>
      <c r="H233" s="29"/>
      <c r="I233" s="29"/>
      <c r="J233" s="29"/>
      <c r="K233" s="31"/>
      <c r="L233" s="32"/>
      <c r="M233" s="29"/>
      <c r="N233" s="29"/>
      <c r="O233" s="29"/>
      <c r="P233" s="29"/>
      <c r="Q233" s="29"/>
      <c r="R233" s="29"/>
      <c r="S233" s="37"/>
      <c r="T233" s="29"/>
      <c r="U233" s="29"/>
    </row>
    <row r="234" spans="3:21" ht="16.5" customHeight="1">
      <c r="C234" s="29"/>
      <c r="D234" s="29"/>
      <c r="E234" s="29"/>
      <c r="H234" s="29"/>
      <c r="I234" s="29"/>
      <c r="J234" s="29"/>
      <c r="K234" s="31"/>
      <c r="L234" s="32"/>
      <c r="M234" s="29"/>
      <c r="N234" s="29"/>
      <c r="O234" s="29"/>
      <c r="P234" s="29"/>
      <c r="Q234" s="29"/>
      <c r="R234" s="29"/>
      <c r="S234" s="37"/>
      <c r="T234" s="29"/>
      <c r="U234" s="29"/>
    </row>
    <row r="235" spans="3:21" ht="16.5" customHeight="1">
      <c r="C235" s="29"/>
      <c r="D235" s="29"/>
      <c r="E235" s="29"/>
      <c r="H235" s="29"/>
      <c r="I235" s="29"/>
      <c r="J235" s="29"/>
      <c r="K235" s="31"/>
      <c r="L235" s="32"/>
      <c r="M235" s="29"/>
      <c r="N235" s="29"/>
      <c r="O235" s="29"/>
      <c r="P235" s="29"/>
      <c r="Q235" s="29"/>
      <c r="R235" s="29"/>
      <c r="S235" s="37"/>
      <c r="T235" s="29"/>
      <c r="U235" s="29"/>
    </row>
    <row r="236" spans="3:21" ht="16.5" customHeight="1">
      <c r="C236" s="29"/>
      <c r="D236" s="29"/>
      <c r="E236" s="29"/>
      <c r="H236" s="29"/>
      <c r="I236" s="29"/>
      <c r="J236" s="29"/>
      <c r="K236" s="31"/>
      <c r="L236" s="32"/>
      <c r="M236" s="29"/>
      <c r="N236" s="29"/>
      <c r="O236" s="29"/>
      <c r="P236" s="29"/>
      <c r="Q236" s="29"/>
      <c r="R236" s="29"/>
      <c r="S236" s="37"/>
      <c r="T236" s="29"/>
      <c r="U236" s="29"/>
    </row>
    <row r="237" spans="3:21" ht="16.5" customHeight="1">
      <c r="C237" s="29"/>
      <c r="D237" s="29"/>
      <c r="E237" s="29"/>
      <c r="H237" s="29"/>
      <c r="I237" s="29"/>
      <c r="J237" s="29"/>
      <c r="K237" s="31"/>
      <c r="L237" s="32"/>
      <c r="M237" s="29"/>
      <c r="N237" s="29"/>
      <c r="O237" s="29"/>
      <c r="P237" s="29"/>
      <c r="Q237" s="29"/>
      <c r="R237" s="29"/>
      <c r="S237" s="37"/>
      <c r="T237" s="29"/>
      <c r="U237" s="29"/>
    </row>
    <row r="238" spans="3:21" ht="16.5" customHeight="1">
      <c r="C238" s="29"/>
      <c r="D238" s="29"/>
      <c r="E238" s="29"/>
      <c r="H238" s="29"/>
      <c r="I238" s="29"/>
      <c r="J238" s="29"/>
      <c r="K238" s="31"/>
      <c r="L238" s="32"/>
      <c r="M238" s="29"/>
      <c r="N238" s="29"/>
      <c r="O238" s="29"/>
      <c r="P238" s="29"/>
      <c r="Q238" s="29"/>
      <c r="R238" s="29"/>
      <c r="S238" s="37"/>
      <c r="T238" s="29"/>
      <c r="U238" s="29"/>
    </row>
    <row r="239" spans="3:21" ht="16.5" customHeight="1">
      <c r="C239" s="29"/>
      <c r="D239" s="29"/>
      <c r="E239" s="29"/>
      <c r="H239" s="29"/>
      <c r="I239" s="29"/>
      <c r="J239" s="29"/>
      <c r="K239" s="31"/>
      <c r="L239" s="32"/>
      <c r="M239" s="29"/>
      <c r="N239" s="29"/>
      <c r="O239" s="29"/>
      <c r="P239" s="29"/>
      <c r="Q239" s="29"/>
      <c r="R239" s="29"/>
      <c r="S239" s="37"/>
      <c r="T239" s="29"/>
      <c r="U239" s="29"/>
    </row>
    <row r="240" spans="3:21" ht="16.5" customHeight="1">
      <c r="C240" s="29"/>
      <c r="D240" s="29"/>
      <c r="E240" s="29"/>
      <c r="H240" s="29"/>
      <c r="I240" s="29"/>
      <c r="J240" s="29"/>
      <c r="K240" s="31"/>
      <c r="L240" s="32"/>
      <c r="M240" s="29"/>
      <c r="N240" s="29"/>
      <c r="O240" s="29"/>
      <c r="P240" s="29"/>
      <c r="Q240" s="29"/>
      <c r="R240" s="29"/>
      <c r="S240" s="37"/>
      <c r="T240" s="29"/>
      <c r="U240" s="29"/>
    </row>
    <row r="241" spans="3:21" ht="16.5" customHeight="1">
      <c r="C241" s="29"/>
      <c r="D241" s="29"/>
      <c r="E241" s="29"/>
      <c r="H241" s="29"/>
      <c r="I241" s="29"/>
      <c r="J241" s="29"/>
      <c r="K241" s="31"/>
      <c r="L241" s="32"/>
      <c r="M241" s="29"/>
      <c r="N241" s="29"/>
      <c r="O241" s="29"/>
      <c r="P241" s="29"/>
      <c r="Q241" s="29"/>
      <c r="R241" s="29"/>
      <c r="S241" s="37"/>
      <c r="T241" s="29"/>
      <c r="U241" s="29"/>
    </row>
    <row r="242" spans="3:21" ht="16.5" customHeight="1">
      <c r="C242" s="29"/>
      <c r="D242" s="29"/>
      <c r="E242" s="29"/>
      <c r="H242" s="29"/>
      <c r="I242" s="29"/>
      <c r="J242" s="29"/>
      <c r="K242" s="31"/>
      <c r="L242" s="32"/>
      <c r="M242" s="29"/>
      <c r="N242" s="29"/>
      <c r="O242" s="29"/>
      <c r="P242" s="29"/>
      <c r="Q242" s="29"/>
      <c r="R242" s="29"/>
      <c r="S242" s="37"/>
      <c r="T242" s="29"/>
      <c r="U242" s="29"/>
    </row>
    <row r="243" spans="3:21" ht="16.5" customHeight="1">
      <c r="C243" s="29"/>
      <c r="D243" s="29"/>
      <c r="E243" s="29"/>
      <c r="H243" s="29"/>
      <c r="I243" s="29"/>
      <c r="J243" s="29"/>
      <c r="K243" s="31"/>
      <c r="L243" s="32"/>
      <c r="M243" s="29"/>
      <c r="N243" s="29"/>
      <c r="O243" s="29"/>
      <c r="P243" s="29"/>
      <c r="Q243" s="29"/>
      <c r="R243" s="29"/>
      <c r="S243" s="37"/>
      <c r="T243" s="29"/>
      <c r="U243" s="29"/>
    </row>
    <row r="244" spans="3:21" ht="16.5" customHeight="1">
      <c r="C244" s="29"/>
      <c r="D244" s="29"/>
      <c r="E244" s="29"/>
      <c r="H244" s="29"/>
      <c r="I244" s="29"/>
      <c r="J244" s="29"/>
      <c r="K244" s="31"/>
      <c r="L244" s="32"/>
      <c r="M244" s="29"/>
      <c r="N244" s="29"/>
      <c r="O244" s="29"/>
      <c r="P244" s="29"/>
      <c r="Q244" s="29"/>
      <c r="R244" s="29"/>
      <c r="S244" s="37"/>
      <c r="T244" s="29"/>
      <c r="U244" s="29"/>
    </row>
    <row r="245" spans="3:21" ht="16.5" customHeight="1">
      <c r="C245" s="29"/>
      <c r="D245" s="29"/>
      <c r="E245" s="29"/>
      <c r="H245" s="29"/>
      <c r="I245" s="29"/>
      <c r="J245" s="29"/>
      <c r="K245" s="31"/>
      <c r="L245" s="32"/>
      <c r="M245" s="29"/>
      <c r="N245" s="29"/>
      <c r="O245" s="29"/>
      <c r="P245" s="29"/>
      <c r="Q245" s="29"/>
      <c r="R245" s="29"/>
      <c r="S245" s="37"/>
      <c r="T245" s="29"/>
      <c r="U245" s="29"/>
    </row>
    <row r="246" spans="3:21" ht="16.5" customHeight="1">
      <c r="C246" s="29"/>
      <c r="D246" s="29"/>
      <c r="E246" s="29"/>
      <c r="H246" s="29"/>
      <c r="I246" s="29"/>
      <c r="J246" s="29"/>
      <c r="K246" s="31"/>
      <c r="L246" s="32"/>
      <c r="M246" s="29"/>
      <c r="N246" s="29"/>
      <c r="O246" s="29"/>
      <c r="P246" s="29"/>
      <c r="Q246" s="29"/>
      <c r="R246" s="29"/>
      <c r="S246" s="37"/>
      <c r="T246" s="29"/>
      <c r="U246" s="29"/>
    </row>
    <row r="247" spans="3:21" ht="16.5" customHeight="1">
      <c r="C247" s="29"/>
      <c r="D247" s="29"/>
      <c r="E247" s="29"/>
      <c r="H247" s="29"/>
      <c r="I247" s="29"/>
      <c r="J247" s="29"/>
      <c r="K247" s="31"/>
      <c r="L247" s="32"/>
      <c r="M247" s="29"/>
      <c r="N247" s="29"/>
      <c r="O247" s="29"/>
      <c r="P247" s="29"/>
      <c r="Q247" s="29"/>
      <c r="R247" s="29"/>
      <c r="S247" s="37"/>
      <c r="T247" s="29"/>
      <c r="U247" s="29"/>
    </row>
    <row r="248" spans="3:21" ht="16.5" customHeight="1">
      <c r="C248" s="29"/>
      <c r="D248" s="29"/>
      <c r="E248" s="29"/>
      <c r="H248" s="29"/>
      <c r="I248" s="29"/>
      <c r="J248" s="29"/>
      <c r="K248" s="31"/>
      <c r="L248" s="32"/>
      <c r="M248" s="29"/>
      <c r="N248" s="29"/>
      <c r="O248" s="29"/>
      <c r="P248" s="29"/>
      <c r="Q248" s="29"/>
      <c r="R248" s="29"/>
      <c r="S248" s="37"/>
      <c r="T248" s="29"/>
      <c r="U248" s="29"/>
    </row>
    <row r="249" spans="3:21" ht="16.5" customHeight="1">
      <c r="C249" s="29"/>
      <c r="D249" s="29"/>
      <c r="E249" s="29"/>
      <c r="H249" s="29"/>
      <c r="I249" s="29"/>
      <c r="J249" s="29"/>
      <c r="K249" s="31"/>
      <c r="L249" s="32"/>
      <c r="M249" s="29"/>
      <c r="N249" s="29"/>
      <c r="O249" s="29"/>
      <c r="P249" s="29"/>
      <c r="Q249" s="29"/>
      <c r="R249" s="29"/>
      <c r="S249" s="37"/>
      <c r="T249" s="29"/>
      <c r="U249" s="29"/>
    </row>
    <row r="250" spans="3:21" ht="16.5" customHeight="1">
      <c r="C250" s="29"/>
      <c r="D250" s="29"/>
      <c r="E250" s="29"/>
      <c r="H250" s="29"/>
      <c r="I250" s="29"/>
      <c r="J250" s="29"/>
      <c r="K250" s="31"/>
      <c r="L250" s="32"/>
      <c r="M250" s="29"/>
      <c r="N250" s="29"/>
      <c r="O250" s="29"/>
      <c r="P250" s="29"/>
      <c r="Q250" s="29"/>
      <c r="R250" s="29"/>
      <c r="S250" s="37"/>
      <c r="T250" s="29"/>
      <c r="U250" s="29"/>
    </row>
    <row r="251" spans="3:21" ht="16.5" customHeight="1">
      <c r="C251" s="29"/>
      <c r="D251" s="29"/>
      <c r="E251" s="29"/>
      <c r="H251" s="29"/>
      <c r="I251" s="29"/>
      <c r="J251" s="29"/>
      <c r="K251" s="31"/>
      <c r="L251" s="32"/>
      <c r="M251" s="29"/>
      <c r="N251" s="29"/>
      <c r="O251" s="29"/>
      <c r="P251" s="29"/>
      <c r="Q251" s="29"/>
      <c r="R251" s="29"/>
      <c r="S251" s="37"/>
      <c r="T251" s="29"/>
      <c r="U251" s="29"/>
    </row>
    <row r="252" spans="3:21" ht="16.5" customHeight="1">
      <c r="C252" s="29"/>
      <c r="D252" s="29"/>
      <c r="E252" s="29"/>
      <c r="H252" s="29"/>
      <c r="I252" s="29"/>
      <c r="J252" s="29"/>
      <c r="K252" s="31"/>
      <c r="L252" s="32"/>
      <c r="M252" s="29"/>
      <c r="N252" s="29"/>
      <c r="O252" s="29"/>
      <c r="P252" s="29"/>
      <c r="Q252" s="29"/>
      <c r="R252" s="29"/>
      <c r="S252" s="37"/>
      <c r="T252" s="29"/>
      <c r="U252" s="29"/>
    </row>
    <row r="253" spans="3:21" ht="16.5" customHeight="1">
      <c r="C253" s="29"/>
      <c r="D253" s="29"/>
      <c r="E253" s="29"/>
      <c r="H253" s="29"/>
      <c r="I253" s="29"/>
      <c r="J253" s="29"/>
      <c r="K253" s="31"/>
      <c r="L253" s="32"/>
      <c r="M253" s="29"/>
      <c r="N253" s="29"/>
      <c r="O253" s="29"/>
      <c r="P253" s="29"/>
      <c r="Q253" s="29"/>
      <c r="R253" s="29"/>
      <c r="S253" s="37"/>
      <c r="T253" s="29"/>
      <c r="U253" s="29"/>
    </row>
    <row r="254" spans="3:21" ht="16.5" customHeight="1">
      <c r="C254" s="29"/>
      <c r="D254" s="29"/>
      <c r="E254" s="29"/>
      <c r="H254" s="29"/>
      <c r="I254" s="29"/>
      <c r="J254" s="29"/>
      <c r="K254" s="31"/>
      <c r="L254" s="32"/>
      <c r="M254" s="29"/>
      <c r="N254" s="29"/>
      <c r="O254" s="29"/>
      <c r="P254" s="29"/>
      <c r="Q254" s="29"/>
      <c r="R254" s="29"/>
      <c r="S254" s="37"/>
      <c r="T254" s="29"/>
      <c r="U254" s="29"/>
    </row>
    <row r="255" spans="3:21" ht="16.5" customHeight="1">
      <c r="C255" s="29"/>
      <c r="D255" s="29"/>
      <c r="E255" s="29"/>
      <c r="H255" s="29"/>
      <c r="I255" s="29"/>
      <c r="J255" s="29"/>
      <c r="K255" s="31"/>
      <c r="L255" s="32"/>
      <c r="M255" s="29"/>
      <c r="N255" s="29"/>
      <c r="O255" s="29"/>
      <c r="P255" s="29"/>
      <c r="Q255" s="29"/>
      <c r="R255" s="29"/>
      <c r="S255" s="37"/>
      <c r="T255" s="29"/>
      <c r="U255" s="29"/>
    </row>
    <row r="256" spans="3:21" ht="16.5" customHeight="1">
      <c r="C256" s="29"/>
      <c r="D256" s="29"/>
      <c r="E256" s="29"/>
      <c r="H256" s="29"/>
      <c r="I256" s="29"/>
      <c r="J256" s="29"/>
      <c r="K256" s="31"/>
      <c r="L256" s="32"/>
      <c r="M256" s="29"/>
      <c r="N256" s="29"/>
      <c r="O256" s="29"/>
      <c r="P256" s="29"/>
      <c r="Q256" s="29"/>
      <c r="R256" s="29"/>
      <c r="S256" s="37"/>
      <c r="T256" s="29"/>
      <c r="U256" s="29"/>
    </row>
    <row r="257" spans="3:21" ht="16.5" customHeight="1">
      <c r="C257" s="29"/>
      <c r="D257" s="29"/>
      <c r="E257" s="29"/>
      <c r="H257" s="29"/>
      <c r="I257" s="29"/>
      <c r="J257" s="29"/>
      <c r="K257" s="31"/>
      <c r="L257" s="32"/>
      <c r="M257" s="29"/>
      <c r="N257" s="29"/>
      <c r="O257" s="29"/>
      <c r="P257" s="29"/>
      <c r="Q257" s="29"/>
      <c r="R257" s="29"/>
      <c r="S257" s="37"/>
      <c r="T257" s="29"/>
      <c r="U257" s="29"/>
    </row>
    <row r="258" spans="3:21" ht="16.5" customHeight="1">
      <c r="C258" s="29"/>
      <c r="D258" s="29"/>
      <c r="E258" s="29"/>
      <c r="H258" s="29"/>
      <c r="I258" s="29"/>
      <c r="J258" s="29"/>
      <c r="K258" s="31"/>
      <c r="L258" s="32"/>
      <c r="M258" s="29"/>
      <c r="N258" s="29"/>
      <c r="O258" s="29"/>
      <c r="P258" s="29"/>
      <c r="Q258" s="29"/>
      <c r="R258" s="29"/>
      <c r="S258" s="37"/>
      <c r="T258" s="29"/>
      <c r="U258" s="29"/>
    </row>
    <row r="259" spans="3:21" ht="16.5" customHeight="1">
      <c r="C259" s="29"/>
      <c r="D259" s="29"/>
      <c r="E259" s="29"/>
      <c r="H259" s="29"/>
      <c r="I259" s="29"/>
      <c r="J259" s="29"/>
      <c r="K259" s="31"/>
      <c r="L259" s="32"/>
      <c r="M259" s="29"/>
      <c r="N259" s="29"/>
      <c r="O259" s="29"/>
      <c r="P259" s="29"/>
      <c r="Q259" s="29"/>
      <c r="R259" s="29"/>
      <c r="S259" s="37"/>
      <c r="T259" s="29"/>
      <c r="U259" s="29"/>
    </row>
    <row r="260" spans="3:21" ht="16.5" customHeight="1">
      <c r="C260" s="29"/>
      <c r="D260" s="29"/>
      <c r="E260" s="29"/>
      <c r="H260" s="29"/>
      <c r="I260" s="29"/>
      <c r="J260" s="29"/>
      <c r="K260" s="31"/>
      <c r="L260" s="32"/>
      <c r="M260" s="29"/>
      <c r="N260" s="29"/>
      <c r="O260" s="29"/>
      <c r="P260" s="29"/>
      <c r="Q260" s="29"/>
      <c r="R260" s="29"/>
      <c r="S260" s="37"/>
      <c r="T260" s="29"/>
      <c r="U260" s="29"/>
    </row>
    <row r="261" spans="3:21" ht="16.5" customHeight="1">
      <c r="C261" s="29"/>
      <c r="D261" s="29"/>
      <c r="E261" s="29"/>
      <c r="H261" s="29"/>
      <c r="I261" s="29"/>
      <c r="J261" s="29"/>
      <c r="K261" s="31"/>
      <c r="L261" s="32"/>
      <c r="M261" s="29"/>
      <c r="N261" s="29"/>
      <c r="O261" s="29"/>
      <c r="P261" s="29"/>
      <c r="Q261" s="29"/>
      <c r="R261" s="29"/>
      <c r="S261" s="37"/>
      <c r="T261" s="29"/>
      <c r="U261" s="29"/>
    </row>
    <row r="262" spans="3:21" ht="16.5" customHeight="1">
      <c r="C262" s="29"/>
      <c r="D262" s="29"/>
      <c r="E262" s="29"/>
      <c r="H262" s="29"/>
      <c r="I262" s="29"/>
      <c r="J262" s="29"/>
      <c r="K262" s="31"/>
      <c r="L262" s="32"/>
      <c r="M262" s="29"/>
      <c r="N262" s="29"/>
      <c r="O262" s="29"/>
      <c r="P262" s="29"/>
      <c r="Q262" s="29"/>
      <c r="R262" s="29"/>
      <c r="S262" s="37"/>
      <c r="T262" s="29"/>
      <c r="U262" s="29"/>
    </row>
    <row r="263" spans="3:21" ht="16.5" customHeight="1">
      <c r="C263" s="29"/>
      <c r="D263" s="29"/>
      <c r="E263" s="29"/>
      <c r="H263" s="29"/>
      <c r="I263" s="29"/>
      <c r="J263" s="29"/>
      <c r="K263" s="31"/>
      <c r="L263" s="32"/>
      <c r="M263" s="29"/>
      <c r="N263" s="29"/>
      <c r="O263" s="29"/>
      <c r="P263" s="29"/>
      <c r="Q263" s="29"/>
      <c r="R263" s="29"/>
      <c r="S263" s="37"/>
      <c r="T263" s="29"/>
      <c r="U263" s="29"/>
    </row>
    <row r="264" spans="3:21" ht="16.5" customHeight="1">
      <c r="C264" s="29"/>
      <c r="D264" s="29"/>
      <c r="E264" s="29"/>
      <c r="H264" s="29"/>
      <c r="I264" s="29"/>
      <c r="J264" s="29"/>
      <c r="K264" s="31"/>
      <c r="L264" s="32"/>
      <c r="M264" s="29"/>
      <c r="N264" s="29"/>
      <c r="O264" s="29"/>
      <c r="P264" s="29"/>
      <c r="Q264" s="29"/>
      <c r="R264" s="29"/>
      <c r="S264" s="37"/>
      <c r="T264" s="29"/>
      <c r="U264" s="29"/>
    </row>
    <row r="265" spans="3:21" ht="16.5" customHeight="1">
      <c r="C265" s="29"/>
      <c r="D265" s="29"/>
      <c r="E265" s="29"/>
      <c r="H265" s="29"/>
      <c r="I265" s="29"/>
      <c r="J265" s="29"/>
      <c r="K265" s="31"/>
      <c r="L265" s="32"/>
      <c r="M265" s="29"/>
      <c r="N265" s="29"/>
      <c r="O265" s="29"/>
      <c r="P265" s="29"/>
      <c r="Q265" s="29"/>
      <c r="R265" s="29"/>
      <c r="S265" s="37"/>
      <c r="T265" s="29"/>
      <c r="U265" s="29"/>
    </row>
    <row r="266" spans="3:21" ht="16.5" customHeight="1">
      <c r="C266" s="29"/>
      <c r="D266" s="29"/>
      <c r="E266" s="29"/>
      <c r="H266" s="29"/>
      <c r="I266" s="29"/>
      <c r="J266" s="29"/>
      <c r="K266" s="31"/>
      <c r="L266" s="32"/>
      <c r="M266" s="29"/>
      <c r="N266" s="29"/>
      <c r="O266" s="29"/>
      <c r="P266" s="29"/>
      <c r="Q266" s="29"/>
      <c r="R266" s="29"/>
      <c r="S266" s="37"/>
      <c r="T266" s="29"/>
      <c r="U266" s="29"/>
    </row>
    <row r="267" spans="3:21" ht="16.5" customHeight="1">
      <c r="C267" s="29"/>
      <c r="D267" s="29"/>
      <c r="E267" s="29"/>
      <c r="H267" s="29"/>
      <c r="I267" s="29"/>
      <c r="J267" s="29"/>
      <c r="K267" s="31"/>
      <c r="L267" s="32"/>
      <c r="M267" s="29"/>
      <c r="N267" s="29"/>
      <c r="O267" s="29"/>
      <c r="P267" s="29"/>
      <c r="Q267" s="29"/>
      <c r="R267" s="29"/>
      <c r="S267" s="37"/>
      <c r="T267" s="29"/>
      <c r="U267" s="29"/>
    </row>
    <row r="268" spans="3:21" ht="16.5" customHeight="1">
      <c r="C268" s="29"/>
      <c r="D268" s="29"/>
      <c r="E268" s="29"/>
      <c r="H268" s="29"/>
      <c r="I268" s="29"/>
      <c r="J268" s="29"/>
      <c r="K268" s="31"/>
      <c r="L268" s="32"/>
      <c r="M268" s="29"/>
      <c r="N268" s="29"/>
      <c r="O268" s="29"/>
      <c r="P268" s="29"/>
      <c r="Q268" s="29"/>
      <c r="R268" s="29"/>
      <c r="S268" s="37"/>
      <c r="T268" s="29"/>
      <c r="U268" s="29"/>
    </row>
    <row r="269" spans="3:21" ht="16.5" customHeight="1">
      <c r="C269" s="29"/>
      <c r="D269" s="29"/>
      <c r="E269" s="29"/>
      <c r="H269" s="29"/>
      <c r="I269" s="29"/>
      <c r="J269" s="29"/>
      <c r="K269" s="31"/>
      <c r="L269" s="32"/>
      <c r="M269" s="29"/>
      <c r="N269" s="29"/>
      <c r="O269" s="29"/>
      <c r="P269" s="29"/>
      <c r="Q269" s="29"/>
      <c r="R269" s="29"/>
      <c r="S269" s="37"/>
      <c r="T269" s="29"/>
      <c r="U269" s="29"/>
    </row>
    <row r="270" spans="3:21" ht="16.5" customHeight="1">
      <c r="C270" s="29"/>
      <c r="D270" s="29"/>
      <c r="E270" s="29"/>
      <c r="H270" s="29"/>
      <c r="I270" s="29"/>
      <c r="J270" s="29"/>
      <c r="K270" s="31"/>
      <c r="L270" s="32"/>
      <c r="M270" s="29"/>
      <c r="N270" s="29"/>
      <c r="O270" s="29"/>
      <c r="P270" s="29"/>
      <c r="Q270" s="29"/>
      <c r="R270" s="29"/>
      <c r="S270" s="37"/>
      <c r="T270" s="29"/>
      <c r="U270" s="29"/>
    </row>
    <row r="271" spans="3:21" ht="16.5" customHeight="1">
      <c r="C271" s="29"/>
      <c r="D271" s="29"/>
      <c r="E271" s="29"/>
      <c r="H271" s="29"/>
      <c r="I271" s="29"/>
      <c r="J271" s="29"/>
      <c r="K271" s="31"/>
      <c r="L271" s="32"/>
      <c r="M271" s="29"/>
      <c r="N271" s="29"/>
      <c r="O271" s="29"/>
      <c r="P271" s="29"/>
      <c r="Q271" s="29"/>
      <c r="R271" s="29"/>
      <c r="S271" s="37"/>
      <c r="T271" s="29"/>
      <c r="U271" s="29"/>
    </row>
    <row r="272" spans="3:21" ht="16.5" customHeight="1">
      <c r="C272" s="29"/>
      <c r="D272" s="29"/>
      <c r="E272" s="29"/>
      <c r="H272" s="29"/>
      <c r="I272" s="29"/>
      <c r="J272" s="29"/>
      <c r="K272" s="31"/>
      <c r="L272" s="32"/>
      <c r="M272" s="29"/>
      <c r="N272" s="29"/>
      <c r="O272" s="29"/>
      <c r="P272" s="29"/>
      <c r="Q272" s="29"/>
      <c r="R272" s="29"/>
      <c r="S272" s="37"/>
      <c r="T272" s="29"/>
      <c r="U272" s="29"/>
    </row>
    <row r="273" spans="3:21" ht="16.5" customHeight="1">
      <c r="C273" s="29"/>
      <c r="D273" s="29"/>
      <c r="E273" s="29"/>
      <c r="H273" s="29"/>
      <c r="I273" s="29"/>
      <c r="J273" s="29"/>
      <c r="K273" s="31"/>
      <c r="L273" s="32"/>
      <c r="M273" s="29"/>
      <c r="N273" s="29"/>
      <c r="O273" s="29"/>
      <c r="P273" s="29"/>
      <c r="Q273" s="29"/>
      <c r="R273" s="29"/>
      <c r="S273" s="37"/>
      <c r="T273" s="29"/>
      <c r="U273" s="29"/>
    </row>
    <row r="274" spans="3:21" ht="16.5" customHeight="1">
      <c r="C274" s="29"/>
      <c r="D274" s="29"/>
      <c r="E274" s="29"/>
      <c r="H274" s="29"/>
      <c r="I274" s="29"/>
      <c r="J274" s="29"/>
      <c r="K274" s="31"/>
      <c r="L274" s="32"/>
      <c r="M274" s="29"/>
      <c r="N274" s="29"/>
      <c r="O274" s="29"/>
      <c r="P274" s="29"/>
      <c r="Q274" s="29"/>
      <c r="R274" s="29"/>
      <c r="S274" s="37"/>
      <c r="T274" s="29"/>
      <c r="U274" s="29"/>
    </row>
    <row r="275" spans="3:21" ht="16.5" customHeight="1">
      <c r="C275" s="29"/>
      <c r="D275" s="29"/>
      <c r="E275" s="29"/>
      <c r="H275" s="29"/>
      <c r="I275" s="29"/>
      <c r="J275" s="29"/>
      <c r="K275" s="31"/>
      <c r="L275" s="32"/>
      <c r="M275" s="29"/>
      <c r="N275" s="29"/>
      <c r="O275" s="29"/>
      <c r="P275" s="29"/>
      <c r="Q275" s="29"/>
      <c r="R275" s="29"/>
      <c r="S275" s="37"/>
      <c r="T275" s="29"/>
      <c r="U275" s="29"/>
    </row>
    <row r="276" spans="3:21" ht="16.5" customHeight="1">
      <c r="C276" s="29"/>
      <c r="D276" s="29"/>
      <c r="E276" s="29"/>
      <c r="H276" s="29"/>
      <c r="I276" s="29"/>
      <c r="J276" s="29"/>
      <c r="K276" s="31"/>
      <c r="L276" s="32"/>
      <c r="M276" s="29"/>
      <c r="N276" s="29"/>
      <c r="O276" s="29"/>
      <c r="P276" s="29"/>
      <c r="Q276" s="29"/>
      <c r="R276" s="29"/>
      <c r="S276" s="37"/>
      <c r="T276" s="29"/>
      <c r="U276" s="29"/>
    </row>
    <row r="277" spans="3:21" ht="16.5" customHeight="1">
      <c r="C277" s="29"/>
      <c r="D277" s="29"/>
      <c r="E277" s="29"/>
      <c r="H277" s="29"/>
      <c r="I277" s="29"/>
      <c r="J277" s="29"/>
      <c r="K277" s="31"/>
      <c r="L277" s="32"/>
      <c r="M277" s="29"/>
      <c r="N277" s="29"/>
      <c r="O277" s="29"/>
      <c r="P277" s="29"/>
      <c r="Q277" s="29"/>
      <c r="R277" s="29"/>
      <c r="S277" s="37"/>
      <c r="T277" s="29"/>
      <c r="U277" s="29"/>
    </row>
    <row r="278" spans="3:21" ht="16.5" customHeight="1">
      <c r="C278" s="29"/>
      <c r="D278" s="29"/>
      <c r="E278" s="29"/>
      <c r="H278" s="29"/>
      <c r="I278" s="29"/>
      <c r="J278" s="29"/>
      <c r="K278" s="31"/>
      <c r="L278" s="32"/>
      <c r="M278" s="29"/>
      <c r="N278" s="29"/>
      <c r="O278" s="29"/>
      <c r="P278" s="29"/>
      <c r="Q278" s="29"/>
      <c r="R278" s="29"/>
      <c r="S278" s="37"/>
      <c r="T278" s="29"/>
      <c r="U278" s="29"/>
    </row>
    <row r="279" spans="3:21" ht="16.5" customHeight="1">
      <c r="C279" s="29"/>
      <c r="D279" s="29"/>
      <c r="E279" s="29"/>
      <c r="H279" s="29"/>
      <c r="I279" s="29"/>
      <c r="J279" s="29"/>
      <c r="K279" s="31"/>
      <c r="L279" s="32"/>
      <c r="M279" s="29"/>
      <c r="N279" s="29"/>
      <c r="O279" s="29"/>
      <c r="P279" s="29"/>
      <c r="Q279" s="29"/>
      <c r="R279" s="29"/>
      <c r="S279" s="37"/>
      <c r="T279" s="29"/>
      <c r="U279" s="29"/>
    </row>
    <row r="280" spans="3:21" ht="16.5" customHeight="1">
      <c r="C280" s="29"/>
      <c r="D280" s="29"/>
      <c r="E280" s="29"/>
      <c r="H280" s="29"/>
      <c r="I280" s="29"/>
      <c r="J280" s="29"/>
      <c r="K280" s="31"/>
      <c r="L280" s="32"/>
      <c r="M280" s="29"/>
      <c r="N280" s="29"/>
      <c r="O280" s="29"/>
      <c r="P280" s="29"/>
      <c r="Q280" s="29"/>
      <c r="R280" s="29"/>
      <c r="S280" s="37"/>
      <c r="T280" s="29"/>
      <c r="U280" s="29"/>
    </row>
    <row r="281" spans="3:21" ht="16.5" customHeight="1">
      <c r="C281" s="29"/>
      <c r="D281" s="29"/>
      <c r="E281" s="29"/>
      <c r="H281" s="29"/>
      <c r="I281" s="29"/>
      <c r="J281" s="29"/>
      <c r="K281" s="31"/>
      <c r="L281" s="32"/>
      <c r="M281" s="29"/>
      <c r="N281" s="29"/>
      <c r="O281" s="29"/>
      <c r="P281" s="29"/>
      <c r="Q281" s="29"/>
      <c r="R281" s="29"/>
      <c r="S281" s="37"/>
      <c r="T281" s="29"/>
      <c r="U281" s="29"/>
    </row>
    <row r="282" spans="3:21" ht="16.5" customHeight="1">
      <c r="C282" s="29"/>
      <c r="D282" s="29"/>
      <c r="E282" s="29"/>
      <c r="H282" s="29"/>
      <c r="I282" s="29"/>
      <c r="J282" s="29"/>
      <c r="K282" s="31"/>
      <c r="L282" s="32"/>
      <c r="M282" s="29"/>
      <c r="N282" s="29"/>
      <c r="O282" s="29"/>
      <c r="P282" s="29"/>
      <c r="Q282" s="29"/>
      <c r="R282" s="29"/>
      <c r="S282" s="37"/>
      <c r="T282" s="29"/>
      <c r="U282" s="29"/>
    </row>
    <row r="283" spans="3:21" ht="16.5" customHeight="1">
      <c r="C283" s="29"/>
      <c r="D283" s="29"/>
      <c r="E283" s="29"/>
      <c r="H283" s="29"/>
      <c r="I283" s="29"/>
      <c r="J283" s="29"/>
      <c r="K283" s="31"/>
      <c r="L283" s="32"/>
      <c r="M283" s="29"/>
      <c r="N283" s="29"/>
      <c r="O283" s="29"/>
      <c r="P283" s="29"/>
      <c r="Q283" s="29"/>
      <c r="R283" s="29"/>
      <c r="S283" s="37"/>
      <c r="T283" s="29"/>
      <c r="U283" s="29"/>
    </row>
    <row r="284" spans="3:21" ht="16.5" customHeight="1">
      <c r="C284" s="29"/>
      <c r="D284" s="29"/>
      <c r="E284" s="29"/>
      <c r="H284" s="29"/>
      <c r="I284" s="29"/>
      <c r="J284" s="29"/>
      <c r="K284" s="31"/>
      <c r="L284" s="32"/>
      <c r="M284" s="29"/>
      <c r="N284" s="29"/>
      <c r="O284" s="29"/>
      <c r="P284" s="29"/>
      <c r="Q284" s="29"/>
      <c r="R284" s="29"/>
      <c r="S284" s="37"/>
      <c r="T284" s="29"/>
      <c r="U284" s="29"/>
    </row>
    <row r="285" spans="3:21" ht="16.5" customHeight="1">
      <c r="C285" s="29"/>
      <c r="D285" s="29"/>
      <c r="E285" s="29"/>
      <c r="H285" s="29"/>
      <c r="I285" s="29"/>
      <c r="J285" s="29"/>
      <c r="K285" s="31"/>
      <c r="L285" s="32"/>
      <c r="M285" s="29"/>
      <c r="N285" s="29"/>
      <c r="O285" s="29"/>
      <c r="P285" s="29"/>
      <c r="Q285" s="29"/>
      <c r="R285" s="29"/>
      <c r="S285" s="37"/>
      <c r="T285" s="29"/>
      <c r="U285" s="29"/>
    </row>
    <row r="286" spans="3:21" ht="16.5" customHeight="1">
      <c r="C286" s="29"/>
      <c r="D286" s="29"/>
      <c r="E286" s="29"/>
      <c r="H286" s="29"/>
      <c r="I286" s="29"/>
      <c r="J286" s="29"/>
      <c r="K286" s="31"/>
      <c r="L286" s="32"/>
      <c r="M286" s="29"/>
      <c r="N286" s="29"/>
      <c r="O286" s="29"/>
      <c r="P286" s="29"/>
      <c r="Q286" s="29"/>
      <c r="R286" s="29"/>
      <c r="S286" s="37"/>
      <c r="T286" s="29"/>
      <c r="U286" s="29"/>
    </row>
    <row r="287" spans="3:21" ht="16.5" customHeight="1">
      <c r="C287" s="29"/>
      <c r="D287" s="29"/>
      <c r="E287" s="29"/>
      <c r="H287" s="29"/>
      <c r="I287" s="29"/>
      <c r="J287" s="29"/>
      <c r="K287" s="31"/>
      <c r="L287" s="32"/>
      <c r="M287" s="29"/>
      <c r="N287" s="29"/>
      <c r="O287" s="29"/>
      <c r="P287" s="29"/>
      <c r="Q287" s="29"/>
      <c r="R287" s="29"/>
      <c r="S287" s="37"/>
      <c r="T287" s="29"/>
      <c r="U287" s="29"/>
    </row>
    <row r="288" spans="3:21" ht="16.5" customHeight="1">
      <c r="C288" s="29"/>
      <c r="D288" s="29"/>
      <c r="E288" s="29"/>
      <c r="H288" s="29"/>
      <c r="I288" s="29"/>
      <c r="J288" s="29"/>
      <c r="K288" s="31"/>
      <c r="L288" s="32"/>
      <c r="M288" s="29"/>
      <c r="N288" s="29"/>
      <c r="O288" s="29"/>
      <c r="P288" s="29"/>
      <c r="Q288" s="29"/>
      <c r="R288" s="29"/>
      <c r="S288" s="37"/>
      <c r="T288" s="29"/>
      <c r="U288" s="29"/>
    </row>
    <row r="289" spans="3:21" ht="16.5" customHeight="1">
      <c r="C289" s="29"/>
      <c r="D289" s="29"/>
      <c r="E289" s="29"/>
      <c r="H289" s="29"/>
      <c r="I289" s="29"/>
      <c r="J289" s="29"/>
      <c r="K289" s="31"/>
      <c r="L289" s="32"/>
      <c r="M289" s="29"/>
      <c r="N289" s="29"/>
      <c r="O289" s="29"/>
      <c r="P289" s="29"/>
      <c r="Q289" s="29"/>
      <c r="R289" s="29"/>
      <c r="S289" s="37"/>
      <c r="T289" s="29"/>
      <c r="U289" s="29"/>
    </row>
    <row r="290" spans="3:21" ht="16.5" customHeight="1">
      <c r="C290" s="29"/>
      <c r="D290" s="29"/>
      <c r="E290" s="29"/>
      <c r="H290" s="29"/>
      <c r="I290" s="29"/>
      <c r="J290" s="29"/>
      <c r="K290" s="31"/>
      <c r="L290" s="32"/>
      <c r="M290" s="29"/>
      <c r="N290" s="29"/>
      <c r="O290" s="29"/>
      <c r="P290" s="29"/>
      <c r="Q290" s="29"/>
      <c r="R290" s="29"/>
      <c r="S290" s="37"/>
      <c r="T290" s="29"/>
      <c r="U290" s="29"/>
    </row>
    <row r="291" spans="3:21" ht="16.5" customHeight="1">
      <c r="C291" s="29"/>
      <c r="D291" s="29"/>
      <c r="E291" s="29"/>
      <c r="H291" s="29"/>
      <c r="I291" s="29"/>
      <c r="J291" s="29"/>
      <c r="K291" s="31"/>
      <c r="L291" s="32"/>
      <c r="M291" s="29"/>
      <c r="N291" s="29"/>
      <c r="O291" s="29"/>
      <c r="P291" s="29"/>
      <c r="Q291" s="29"/>
      <c r="R291" s="29"/>
      <c r="S291" s="37"/>
      <c r="T291" s="29"/>
      <c r="U291" s="29"/>
    </row>
    <row r="292" spans="3:21" ht="16.5" customHeight="1">
      <c r="C292" s="29"/>
      <c r="D292" s="29"/>
      <c r="E292" s="29"/>
      <c r="H292" s="29"/>
      <c r="I292" s="29"/>
      <c r="J292" s="29"/>
      <c r="K292" s="31"/>
      <c r="L292" s="32"/>
      <c r="M292" s="29"/>
      <c r="N292" s="29"/>
      <c r="O292" s="29"/>
      <c r="P292" s="29"/>
      <c r="Q292" s="29"/>
      <c r="R292" s="29"/>
      <c r="S292" s="37"/>
      <c r="T292" s="29"/>
      <c r="U292" s="29"/>
    </row>
    <row r="293" spans="3:21" ht="16.5" customHeight="1">
      <c r="C293" s="29"/>
      <c r="D293" s="29"/>
      <c r="E293" s="29"/>
      <c r="H293" s="29"/>
      <c r="I293" s="29"/>
      <c r="J293" s="29"/>
      <c r="K293" s="31"/>
      <c r="L293" s="32"/>
      <c r="M293" s="29"/>
      <c r="N293" s="29"/>
      <c r="O293" s="29"/>
      <c r="P293" s="29"/>
      <c r="Q293" s="29"/>
      <c r="R293" s="29"/>
      <c r="S293" s="37"/>
      <c r="T293" s="29"/>
      <c r="U293" s="29"/>
    </row>
    <row r="294" spans="3:21" ht="16.5" customHeight="1">
      <c r="C294" s="29"/>
      <c r="D294" s="29"/>
      <c r="E294" s="29"/>
      <c r="H294" s="29"/>
      <c r="I294" s="29"/>
      <c r="J294" s="29"/>
      <c r="K294" s="31"/>
      <c r="L294" s="32"/>
      <c r="M294" s="29"/>
      <c r="N294" s="29"/>
      <c r="O294" s="29"/>
      <c r="P294" s="29"/>
      <c r="Q294" s="29"/>
      <c r="R294" s="29"/>
      <c r="S294" s="37"/>
      <c r="T294" s="29"/>
      <c r="U294" s="29"/>
    </row>
    <row r="295" spans="3:21" ht="16.5" customHeight="1">
      <c r="C295" s="29"/>
      <c r="D295" s="29"/>
      <c r="E295" s="29"/>
      <c r="H295" s="29"/>
      <c r="I295" s="29"/>
      <c r="J295" s="29"/>
      <c r="K295" s="31"/>
      <c r="L295" s="32"/>
      <c r="M295" s="29"/>
      <c r="N295" s="29"/>
      <c r="O295" s="29"/>
      <c r="P295" s="29"/>
      <c r="Q295" s="29"/>
      <c r="R295" s="29"/>
      <c r="S295" s="37"/>
      <c r="T295" s="29"/>
      <c r="U295" s="29"/>
    </row>
    <row r="296" spans="3:21" ht="16.5" customHeight="1">
      <c r="C296" s="29"/>
      <c r="D296" s="29"/>
      <c r="E296" s="29"/>
      <c r="H296" s="29"/>
      <c r="I296" s="29"/>
      <c r="J296" s="29"/>
      <c r="K296" s="31"/>
      <c r="L296" s="32"/>
      <c r="M296" s="29"/>
      <c r="N296" s="29"/>
      <c r="O296" s="29"/>
      <c r="P296" s="29"/>
      <c r="Q296" s="29"/>
      <c r="R296" s="29"/>
      <c r="S296" s="37"/>
      <c r="T296" s="29"/>
      <c r="U296" s="29"/>
    </row>
    <row r="297" spans="3:21" ht="16.5" customHeight="1">
      <c r="C297" s="29"/>
      <c r="D297" s="29"/>
      <c r="E297" s="29"/>
      <c r="H297" s="29"/>
      <c r="I297" s="29"/>
      <c r="J297" s="29"/>
      <c r="K297" s="31"/>
      <c r="L297" s="32"/>
      <c r="M297" s="29"/>
      <c r="N297" s="29"/>
      <c r="O297" s="29"/>
      <c r="P297" s="29"/>
      <c r="Q297" s="29"/>
      <c r="R297" s="29"/>
      <c r="S297" s="37"/>
      <c r="T297" s="29"/>
      <c r="U297" s="29"/>
    </row>
    <row r="298" spans="3:21" ht="16.5" customHeight="1">
      <c r="C298" s="29"/>
      <c r="D298" s="29"/>
      <c r="E298" s="29"/>
      <c r="H298" s="29"/>
      <c r="I298" s="29"/>
      <c r="J298" s="29"/>
      <c r="K298" s="31"/>
      <c r="L298" s="32"/>
      <c r="M298" s="29"/>
      <c r="N298" s="29"/>
      <c r="O298" s="29"/>
      <c r="P298" s="29"/>
      <c r="Q298" s="29"/>
      <c r="R298" s="29"/>
      <c r="S298" s="37"/>
      <c r="T298" s="29"/>
      <c r="U298" s="29"/>
    </row>
    <row r="299" spans="3:21" ht="16.5" customHeight="1">
      <c r="C299" s="29"/>
      <c r="D299" s="29"/>
      <c r="E299" s="29"/>
      <c r="H299" s="29"/>
      <c r="I299" s="29"/>
      <c r="J299" s="29"/>
      <c r="K299" s="31"/>
      <c r="L299" s="32"/>
      <c r="M299" s="29"/>
      <c r="N299" s="29"/>
      <c r="O299" s="29"/>
      <c r="P299" s="29"/>
      <c r="Q299" s="29"/>
      <c r="R299" s="29"/>
      <c r="S299" s="37"/>
      <c r="T299" s="29"/>
      <c r="U299" s="29"/>
    </row>
    <row r="300" spans="3:21" ht="16.5" customHeight="1">
      <c r="C300" s="29"/>
      <c r="D300" s="29"/>
      <c r="E300" s="29"/>
      <c r="H300" s="29"/>
      <c r="I300" s="29"/>
      <c r="J300" s="29"/>
      <c r="K300" s="31"/>
      <c r="L300" s="32"/>
      <c r="M300" s="29"/>
      <c r="N300" s="29"/>
      <c r="O300" s="29"/>
      <c r="P300" s="29"/>
      <c r="Q300" s="29"/>
      <c r="R300" s="29"/>
      <c r="S300" s="37"/>
      <c r="T300" s="29"/>
      <c r="U300" s="29"/>
    </row>
    <row r="301" spans="3:21" ht="16.5" customHeight="1">
      <c r="C301" s="29"/>
      <c r="D301" s="29"/>
      <c r="E301" s="29"/>
      <c r="H301" s="29"/>
      <c r="I301" s="29"/>
      <c r="J301" s="29"/>
      <c r="K301" s="31"/>
      <c r="L301" s="32"/>
      <c r="M301" s="29"/>
      <c r="N301" s="29"/>
      <c r="O301" s="29"/>
      <c r="P301" s="29"/>
      <c r="Q301" s="29"/>
      <c r="R301" s="29"/>
      <c r="S301" s="37"/>
      <c r="T301" s="29"/>
      <c r="U301" s="29"/>
    </row>
    <row r="302" spans="3:21" ht="16.5" customHeight="1">
      <c r="C302" s="29"/>
      <c r="D302" s="29"/>
      <c r="E302" s="29"/>
      <c r="H302" s="29"/>
      <c r="I302" s="29"/>
      <c r="J302" s="29"/>
      <c r="K302" s="31"/>
      <c r="L302" s="32"/>
      <c r="M302" s="29"/>
      <c r="N302" s="29"/>
      <c r="O302" s="29"/>
      <c r="P302" s="29"/>
      <c r="Q302" s="29"/>
      <c r="R302" s="29"/>
      <c r="S302" s="37"/>
      <c r="T302" s="29"/>
      <c r="U302" s="29"/>
    </row>
    <row r="303" spans="3:21" ht="16.5" customHeight="1">
      <c r="C303" s="29"/>
      <c r="D303" s="29"/>
      <c r="E303" s="29"/>
      <c r="H303" s="29"/>
      <c r="I303" s="29"/>
      <c r="J303" s="29"/>
      <c r="K303" s="31"/>
      <c r="L303" s="32"/>
      <c r="M303" s="29"/>
      <c r="N303" s="29"/>
      <c r="O303" s="29"/>
      <c r="P303" s="29"/>
      <c r="Q303" s="29"/>
      <c r="R303" s="29"/>
      <c r="S303" s="37"/>
      <c r="T303" s="29"/>
      <c r="U303" s="29"/>
    </row>
    <row r="304" spans="3:21" ht="16.5" customHeight="1">
      <c r="C304" s="29"/>
      <c r="D304" s="29"/>
      <c r="E304" s="29"/>
      <c r="H304" s="29"/>
      <c r="I304" s="29"/>
      <c r="J304" s="29"/>
      <c r="K304" s="31"/>
      <c r="L304" s="32"/>
      <c r="M304" s="29"/>
      <c r="N304" s="29"/>
      <c r="O304" s="29"/>
      <c r="P304" s="29"/>
      <c r="Q304" s="29"/>
      <c r="R304" s="29"/>
      <c r="S304" s="37"/>
      <c r="T304" s="29"/>
      <c r="U304" s="29"/>
    </row>
    <row r="305" spans="3:21" ht="16.5" customHeight="1">
      <c r="C305" s="29"/>
      <c r="D305" s="29"/>
      <c r="E305" s="29"/>
      <c r="H305" s="29"/>
      <c r="I305" s="29"/>
      <c r="J305" s="29"/>
      <c r="K305" s="31"/>
      <c r="L305" s="32"/>
      <c r="M305" s="29"/>
      <c r="N305" s="29"/>
      <c r="O305" s="29"/>
      <c r="P305" s="29"/>
      <c r="Q305" s="29"/>
      <c r="R305" s="29"/>
      <c r="S305" s="37"/>
      <c r="T305" s="29"/>
      <c r="U305" s="29"/>
    </row>
    <row r="306" spans="3:21" ht="16.5" customHeight="1">
      <c r="C306" s="29"/>
      <c r="D306" s="29"/>
      <c r="E306" s="29"/>
      <c r="H306" s="29"/>
      <c r="I306" s="29"/>
      <c r="J306" s="29"/>
      <c r="K306" s="31"/>
      <c r="L306" s="32"/>
      <c r="M306" s="29"/>
      <c r="N306" s="29"/>
      <c r="O306" s="29"/>
      <c r="P306" s="29"/>
      <c r="Q306" s="29"/>
      <c r="R306" s="29"/>
      <c r="S306" s="37"/>
      <c r="T306" s="29"/>
      <c r="U306" s="29"/>
    </row>
    <row r="307" spans="3:21" ht="16.5" customHeight="1">
      <c r="C307" s="29"/>
      <c r="D307" s="29"/>
      <c r="E307" s="29"/>
      <c r="H307" s="29"/>
      <c r="I307" s="29"/>
      <c r="J307" s="29"/>
      <c r="K307" s="31"/>
      <c r="L307" s="32"/>
      <c r="M307" s="29"/>
      <c r="N307" s="29"/>
      <c r="O307" s="29"/>
      <c r="P307" s="29"/>
      <c r="Q307" s="29"/>
      <c r="R307" s="29"/>
      <c r="S307" s="37"/>
      <c r="T307" s="29"/>
      <c r="U307" s="29"/>
    </row>
    <row r="308" spans="3:21" ht="16.5" customHeight="1">
      <c r="C308" s="29"/>
      <c r="D308" s="29"/>
      <c r="E308" s="29"/>
      <c r="H308" s="29"/>
      <c r="I308" s="29"/>
      <c r="J308" s="29"/>
      <c r="K308" s="31"/>
      <c r="L308" s="32"/>
      <c r="M308" s="29"/>
      <c r="N308" s="29"/>
      <c r="O308" s="29"/>
      <c r="P308" s="29"/>
      <c r="Q308" s="29"/>
      <c r="R308" s="29"/>
      <c r="S308" s="37"/>
      <c r="T308" s="29"/>
      <c r="U308" s="29"/>
    </row>
    <row r="309" spans="3:21" ht="16.5" customHeight="1">
      <c r="C309" s="29"/>
      <c r="D309" s="29"/>
      <c r="E309" s="29"/>
      <c r="H309" s="29"/>
      <c r="I309" s="29"/>
      <c r="J309" s="29"/>
      <c r="K309" s="31"/>
      <c r="L309" s="32"/>
      <c r="M309" s="29"/>
      <c r="N309" s="29"/>
      <c r="O309" s="29"/>
      <c r="P309" s="29"/>
      <c r="Q309" s="29"/>
      <c r="R309" s="29"/>
      <c r="S309" s="37"/>
      <c r="T309" s="29"/>
      <c r="U309" s="29"/>
    </row>
    <row r="310" spans="3:21" ht="16.5" customHeight="1">
      <c r="C310" s="29"/>
      <c r="D310" s="29"/>
      <c r="E310" s="29"/>
      <c r="H310" s="29"/>
      <c r="I310" s="29"/>
      <c r="J310" s="29"/>
      <c r="K310" s="31"/>
      <c r="L310" s="32"/>
      <c r="M310" s="29"/>
      <c r="N310" s="29"/>
      <c r="O310" s="29"/>
      <c r="P310" s="29"/>
      <c r="Q310" s="29"/>
      <c r="R310" s="29"/>
      <c r="S310" s="37"/>
      <c r="T310" s="29"/>
      <c r="U310" s="29"/>
    </row>
    <row r="311" spans="3:21" ht="16.5" customHeight="1">
      <c r="C311" s="29"/>
      <c r="D311" s="29"/>
      <c r="E311" s="29"/>
      <c r="H311" s="29"/>
      <c r="I311" s="29"/>
      <c r="J311" s="29"/>
      <c r="K311" s="31"/>
      <c r="L311" s="32"/>
      <c r="M311" s="29"/>
      <c r="N311" s="29"/>
      <c r="O311" s="29"/>
      <c r="P311" s="29"/>
      <c r="Q311" s="29"/>
      <c r="R311" s="29"/>
      <c r="S311" s="37"/>
      <c r="T311" s="29"/>
      <c r="U311" s="29"/>
    </row>
    <row r="312" spans="3:21" ht="16.5" customHeight="1">
      <c r="C312" s="29"/>
      <c r="D312" s="29"/>
      <c r="E312" s="29"/>
      <c r="H312" s="29"/>
      <c r="I312" s="29"/>
      <c r="J312" s="29"/>
      <c r="K312" s="31"/>
      <c r="L312" s="32"/>
      <c r="M312" s="29"/>
      <c r="N312" s="29"/>
      <c r="O312" s="29"/>
      <c r="P312" s="29"/>
      <c r="Q312" s="29"/>
      <c r="R312" s="29"/>
      <c r="S312" s="37"/>
      <c r="T312" s="29"/>
      <c r="U312" s="29"/>
    </row>
    <row r="313" spans="3:21" ht="16.5" customHeight="1">
      <c r="C313" s="29"/>
      <c r="D313" s="29"/>
      <c r="E313" s="29"/>
      <c r="H313" s="29"/>
      <c r="I313" s="29"/>
      <c r="J313" s="29"/>
      <c r="K313" s="31"/>
      <c r="L313" s="32"/>
      <c r="M313" s="29"/>
      <c r="N313" s="29"/>
      <c r="O313" s="29"/>
      <c r="P313" s="29"/>
      <c r="Q313" s="29"/>
      <c r="R313" s="29"/>
      <c r="S313" s="37"/>
      <c r="T313" s="29"/>
      <c r="U313" s="29"/>
    </row>
    <row r="314" spans="3:21" ht="16.5" customHeight="1">
      <c r="C314" s="29"/>
      <c r="D314" s="29"/>
      <c r="E314" s="29"/>
      <c r="H314" s="29"/>
      <c r="I314" s="29"/>
      <c r="J314" s="29"/>
      <c r="K314" s="31"/>
      <c r="L314" s="32"/>
      <c r="M314" s="29"/>
      <c r="N314" s="29"/>
      <c r="O314" s="29"/>
      <c r="P314" s="29"/>
      <c r="Q314" s="29"/>
      <c r="R314" s="29"/>
      <c r="S314" s="37"/>
      <c r="T314" s="29"/>
      <c r="U314" s="29"/>
    </row>
    <row r="315" spans="3:21" ht="16.5" customHeight="1">
      <c r="C315" s="29"/>
      <c r="D315" s="29"/>
      <c r="E315" s="29"/>
      <c r="H315" s="29"/>
      <c r="I315" s="29"/>
      <c r="J315" s="29"/>
      <c r="K315" s="31"/>
      <c r="L315" s="32"/>
      <c r="M315" s="29"/>
      <c r="N315" s="29"/>
      <c r="O315" s="29"/>
      <c r="P315" s="29"/>
      <c r="Q315" s="29"/>
      <c r="R315" s="29"/>
      <c r="S315" s="37"/>
      <c r="T315" s="29"/>
      <c r="U315" s="29"/>
    </row>
    <row r="316" spans="3:21" ht="16.5" customHeight="1">
      <c r="C316" s="29"/>
      <c r="D316" s="29"/>
      <c r="E316" s="29"/>
      <c r="H316" s="29"/>
      <c r="I316" s="29"/>
      <c r="J316" s="29"/>
      <c r="K316" s="31"/>
      <c r="L316" s="32"/>
      <c r="M316" s="29"/>
      <c r="N316" s="29"/>
      <c r="O316" s="29"/>
      <c r="P316" s="29"/>
      <c r="Q316" s="29"/>
      <c r="R316" s="29"/>
      <c r="S316" s="37"/>
      <c r="T316" s="29"/>
      <c r="U316" s="29"/>
    </row>
    <row r="317" spans="3:21" ht="16.5" customHeight="1">
      <c r="C317" s="29"/>
      <c r="D317" s="29"/>
      <c r="E317" s="29"/>
      <c r="H317" s="29"/>
      <c r="I317" s="29"/>
      <c r="J317" s="29"/>
      <c r="K317" s="31"/>
      <c r="L317" s="32"/>
      <c r="M317" s="29"/>
      <c r="N317" s="29"/>
      <c r="O317" s="29"/>
      <c r="P317" s="29"/>
      <c r="Q317" s="29"/>
      <c r="R317" s="29"/>
      <c r="S317" s="37"/>
      <c r="T317" s="29"/>
      <c r="U317" s="29"/>
    </row>
    <row r="318" spans="3:21" ht="16.5" customHeight="1">
      <c r="C318" s="29"/>
      <c r="D318" s="29"/>
      <c r="E318" s="29"/>
      <c r="H318" s="29"/>
      <c r="I318" s="29"/>
      <c r="J318" s="29"/>
      <c r="K318" s="31"/>
      <c r="L318" s="32"/>
      <c r="M318" s="29"/>
      <c r="N318" s="29"/>
      <c r="O318" s="29"/>
      <c r="P318" s="29"/>
      <c r="Q318" s="29"/>
      <c r="R318" s="29"/>
      <c r="S318" s="37"/>
      <c r="T318" s="29"/>
      <c r="U318" s="29"/>
    </row>
    <row r="319" spans="3:21" ht="16.5" customHeight="1">
      <c r="C319" s="29"/>
      <c r="D319" s="29"/>
      <c r="E319" s="29"/>
      <c r="H319" s="29"/>
      <c r="I319" s="29"/>
      <c r="J319" s="29"/>
      <c r="K319" s="31"/>
      <c r="L319" s="32"/>
      <c r="M319" s="29"/>
      <c r="N319" s="29"/>
      <c r="O319" s="29"/>
      <c r="P319" s="29"/>
      <c r="Q319" s="29"/>
      <c r="R319" s="29"/>
      <c r="S319" s="37"/>
      <c r="T319" s="29"/>
      <c r="U319" s="29"/>
    </row>
    <row r="320" spans="3:21" ht="16.5" customHeight="1">
      <c r="C320" s="29"/>
      <c r="D320" s="29"/>
      <c r="E320" s="29"/>
      <c r="H320" s="29"/>
      <c r="I320" s="29"/>
      <c r="J320" s="29"/>
      <c r="K320" s="31"/>
      <c r="L320" s="32"/>
      <c r="M320" s="29"/>
      <c r="N320" s="29"/>
      <c r="O320" s="29"/>
      <c r="P320" s="29"/>
      <c r="Q320" s="29"/>
      <c r="R320" s="29"/>
      <c r="S320" s="37"/>
      <c r="T320" s="29"/>
      <c r="U320" s="29"/>
    </row>
    <row r="321" spans="3:21" ht="16.5" customHeight="1">
      <c r="C321" s="29"/>
      <c r="D321" s="29"/>
      <c r="E321" s="29"/>
      <c r="H321" s="29"/>
      <c r="I321" s="29"/>
      <c r="J321" s="29"/>
      <c r="K321" s="31"/>
      <c r="L321" s="32"/>
      <c r="M321" s="29"/>
      <c r="N321" s="29"/>
      <c r="O321" s="29"/>
      <c r="P321" s="29"/>
      <c r="Q321" s="29"/>
      <c r="R321" s="29"/>
      <c r="S321" s="37"/>
      <c r="T321" s="29"/>
      <c r="U321" s="29"/>
    </row>
    <row r="322" spans="3:21" ht="16.5" customHeight="1">
      <c r="C322" s="29"/>
      <c r="D322" s="29"/>
      <c r="E322" s="29"/>
      <c r="H322" s="29"/>
      <c r="I322" s="29"/>
      <c r="J322" s="29"/>
      <c r="K322" s="31"/>
      <c r="L322" s="32"/>
      <c r="M322" s="29"/>
      <c r="N322" s="29"/>
      <c r="O322" s="29"/>
      <c r="P322" s="29"/>
      <c r="Q322" s="29"/>
      <c r="R322" s="29"/>
      <c r="S322" s="37"/>
      <c r="T322" s="29"/>
      <c r="U322" s="29"/>
    </row>
    <row r="323" spans="3:21" ht="16.5" customHeight="1">
      <c r="C323" s="29"/>
      <c r="D323" s="29"/>
      <c r="E323" s="29"/>
      <c r="H323" s="29"/>
      <c r="I323" s="29"/>
      <c r="J323" s="29"/>
      <c r="K323" s="31"/>
      <c r="L323" s="32"/>
      <c r="M323" s="29"/>
      <c r="N323" s="29"/>
      <c r="O323" s="29"/>
      <c r="P323" s="29"/>
      <c r="Q323" s="29"/>
      <c r="R323" s="29"/>
      <c r="S323" s="37"/>
      <c r="T323" s="29"/>
      <c r="U323" s="29"/>
    </row>
    <row r="324" spans="3:21" ht="16.5" customHeight="1">
      <c r="C324" s="29"/>
      <c r="D324" s="29"/>
      <c r="E324" s="29"/>
      <c r="H324" s="29"/>
      <c r="I324" s="29"/>
      <c r="J324" s="29"/>
      <c r="K324" s="31"/>
      <c r="L324" s="32"/>
      <c r="M324" s="29"/>
      <c r="N324" s="29"/>
      <c r="O324" s="29"/>
      <c r="P324" s="29"/>
      <c r="Q324" s="29"/>
      <c r="R324" s="29"/>
      <c r="S324" s="37"/>
      <c r="T324" s="29"/>
      <c r="U324" s="29"/>
    </row>
    <row r="325" spans="3:21" ht="16.5" customHeight="1">
      <c r="C325" s="29"/>
      <c r="D325" s="29"/>
      <c r="E325" s="29"/>
      <c r="H325" s="29"/>
      <c r="I325" s="29"/>
      <c r="J325" s="29"/>
      <c r="K325" s="31"/>
      <c r="L325" s="32"/>
      <c r="M325" s="29"/>
      <c r="N325" s="29"/>
      <c r="O325" s="29"/>
      <c r="P325" s="29"/>
      <c r="Q325" s="29"/>
      <c r="R325" s="29"/>
      <c r="S325" s="37"/>
      <c r="T325" s="29"/>
      <c r="U325" s="29"/>
    </row>
    <row r="326" spans="3:21" ht="16.5" customHeight="1">
      <c r="C326" s="29"/>
      <c r="D326" s="29"/>
      <c r="E326" s="29"/>
      <c r="H326" s="29"/>
      <c r="I326" s="29"/>
      <c r="J326" s="29"/>
      <c r="K326" s="31"/>
      <c r="L326" s="32"/>
      <c r="M326" s="29"/>
      <c r="N326" s="29"/>
      <c r="O326" s="29"/>
      <c r="P326" s="29"/>
      <c r="Q326" s="29"/>
      <c r="R326" s="29"/>
      <c r="S326" s="37"/>
      <c r="T326" s="29"/>
      <c r="U326" s="29"/>
    </row>
    <row r="327" spans="3:21" ht="16.5" customHeight="1">
      <c r="C327" s="29"/>
      <c r="D327" s="29"/>
      <c r="E327" s="29"/>
      <c r="H327" s="29"/>
      <c r="I327" s="29"/>
      <c r="J327" s="29"/>
      <c r="K327" s="31"/>
      <c r="L327" s="32"/>
      <c r="M327" s="29"/>
      <c r="N327" s="29"/>
      <c r="O327" s="29"/>
      <c r="P327" s="29"/>
      <c r="Q327" s="29"/>
      <c r="R327" s="29"/>
      <c r="S327" s="37"/>
      <c r="T327" s="29"/>
      <c r="U327" s="29"/>
    </row>
    <row r="328" spans="3:21" ht="16.5" customHeight="1">
      <c r="C328" s="29"/>
      <c r="D328" s="29"/>
      <c r="E328" s="29"/>
      <c r="H328" s="29"/>
      <c r="I328" s="29"/>
      <c r="J328" s="29"/>
      <c r="K328" s="31"/>
      <c r="L328" s="32"/>
      <c r="M328" s="29"/>
      <c r="N328" s="29"/>
      <c r="O328" s="29"/>
      <c r="P328" s="29"/>
      <c r="Q328" s="29"/>
      <c r="R328" s="29"/>
      <c r="S328" s="37"/>
      <c r="T328" s="29"/>
      <c r="U328" s="29"/>
    </row>
    <row r="329" spans="3:21" ht="16.5" customHeight="1">
      <c r="C329" s="29"/>
      <c r="D329" s="29"/>
      <c r="E329" s="29"/>
      <c r="H329" s="29"/>
      <c r="I329" s="29"/>
      <c r="J329" s="29"/>
      <c r="K329" s="31"/>
      <c r="L329" s="32"/>
      <c r="M329" s="29"/>
      <c r="N329" s="29"/>
      <c r="O329" s="29"/>
      <c r="P329" s="29"/>
      <c r="Q329" s="29"/>
      <c r="R329" s="29"/>
      <c r="S329" s="37"/>
      <c r="T329" s="29"/>
      <c r="U329" s="29"/>
    </row>
    <row r="330" spans="3:21" ht="16.5" customHeight="1">
      <c r="C330" s="29"/>
      <c r="D330" s="29"/>
      <c r="E330" s="29"/>
      <c r="H330" s="29"/>
      <c r="I330" s="29"/>
      <c r="J330" s="29"/>
      <c r="K330" s="31"/>
      <c r="L330" s="32"/>
      <c r="M330" s="29"/>
      <c r="N330" s="29"/>
      <c r="O330" s="29"/>
      <c r="P330" s="29"/>
      <c r="Q330" s="29"/>
      <c r="R330" s="29"/>
      <c r="S330" s="37"/>
      <c r="T330" s="29"/>
      <c r="U330" s="29"/>
    </row>
    <row r="331" spans="3:21" ht="16.5" customHeight="1">
      <c r="C331" s="29"/>
      <c r="D331" s="29"/>
      <c r="E331" s="29"/>
      <c r="H331" s="29"/>
      <c r="I331" s="29"/>
      <c r="J331" s="29"/>
      <c r="K331" s="31"/>
      <c r="L331" s="32"/>
      <c r="M331" s="29"/>
      <c r="N331" s="29"/>
      <c r="O331" s="29"/>
      <c r="P331" s="29"/>
      <c r="Q331" s="29"/>
      <c r="R331" s="29"/>
      <c r="S331" s="37"/>
      <c r="T331" s="29"/>
      <c r="U331" s="29"/>
    </row>
    <row r="332" spans="3:21" ht="16.5" customHeight="1">
      <c r="C332" s="29"/>
      <c r="D332" s="29"/>
      <c r="E332" s="29"/>
      <c r="H332" s="29"/>
      <c r="I332" s="29"/>
      <c r="J332" s="29"/>
      <c r="K332" s="31"/>
      <c r="L332" s="32"/>
      <c r="M332" s="29"/>
      <c r="N332" s="29"/>
      <c r="O332" s="29"/>
      <c r="P332" s="29"/>
      <c r="Q332" s="29"/>
      <c r="R332" s="29"/>
      <c r="S332" s="37"/>
      <c r="T332" s="29"/>
      <c r="U332" s="29"/>
    </row>
    <row r="333" spans="3:21" ht="16.5" customHeight="1">
      <c r="C333" s="29"/>
      <c r="D333" s="29"/>
      <c r="E333" s="29"/>
      <c r="H333" s="29"/>
      <c r="I333" s="29"/>
      <c r="J333" s="29"/>
      <c r="K333" s="31"/>
      <c r="L333" s="32"/>
      <c r="M333" s="29"/>
      <c r="N333" s="29"/>
      <c r="O333" s="29"/>
      <c r="P333" s="29"/>
      <c r="Q333" s="29"/>
      <c r="R333" s="29"/>
      <c r="S333" s="37"/>
      <c r="T333" s="29"/>
      <c r="U333" s="29"/>
    </row>
    <row r="334" spans="3:21" ht="16.5" customHeight="1">
      <c r="C334" s="29"/>
      <c r="D334" s="29"/>
      <c r="E334" s="29"/>
      <c r="H334" s="29"/>
      <c r="I334" s="29"/>
      <c r="J334" s="29"/>
      <c r="K334" s="31"/>
      <c r="L334" s="32"/>
      <c r="M334" s="29"/>
      <c r="N334" s="29"/>
      <c r="O334" s="29"/>
      <c r="P334" s="29"/>
      <c r="Q334" s="29"/>
      <c r="R334" s="29"/>
      <c r="S334" s="37"/>
      <c r="T334" s="29"/>
      <c r="U334" s="29"/>
    </row>
    <row r="335" spans="3:21" ht="16.5" customHeight="1">
      <c r="C335" s="29"/>
      <c r="D335" s="29"/>
      <c r="E335" s="29"/>
      <c r="H335" s="29"/>
      <c r="I335" s="29"/>
      <c r="J335" s="29"/>
      <c r="K335" s="31"/>
      <c r="L335" s="32"/>
      <c r="M335" s="29"/>
      <c r="N335" s="29"/>
      <c r="O335" s="29"/>
      <c r="P335" s="29"/>
      <c r="Q335" s="29"/>
      <c r="R335" s="29"/>
      <c r="S335" s="37"/>
      <c r="T335" s="29"/>
      <c r="U335" s="29"/>
    </row>
    <row r="336" spans="3:21" ht="16.5" customHeight="1">
      <c r="C336" s="29"/>
      <c r="D336" s="29"/>
      <c r="E336" s="29"/>
      <c r="H336" s="29"/>
      <c r="I336" s="29"/>
      <c r="J336" s="29"/>
      <c r="K336" s="31"/>
      <c r="L336" s="32"/>
      <c r="M336" s="29"/>
      <c r="N336" s="29"/>
      <c r="O336" s="29"/>
      <c r="P336" s="29"/>
      <c r="Q336" s="29"/>
      <c r="R336" s="29"/>
      <c r="S336" s="37"/>
      <c r="T336" s="29"/>
      <c r="U336" s="29"/>
    </row>
    <row r="337" spans="3:21" ht="16.5" customHeight="1">
      <c r="C337" s="29"/>
      <c r="D337" s="29"/>
      <c r="E337" s="29"/>
      <c r="H337" s="29"/>
      <c r="I337" s="29"/>
      <c r="J337" s="29"/>
      <c r="K337" s="31"/>
      <c r="L337" s="32"/>
      <c r="M337" s="29"/>
      <c r="N337" s="29"/>
      <c r="O337" s="29"/>
      <c r="P337" s="29"/>
      <c r="Q337" s="29"/>
      <c r="R337" s="29"/>
      <c r="S337" s="37"/>
      <c r="T337" s="29"/>
      <c r="U337" s="29"/>
    </row>
    <row r="338" spans="3:21" ht="16.5" customHeight="1">
      <c r="C338" s="29"/>
      <c r="D338" s="29"/>
      <c r="E338" s="29"/>
      <c r="H338" s="29"/>
      <c r="I338" s="29"/>
      <c r="J338" s="29"/>
      <c r="K338" s="31"/>
      <c r="L338" s="32"/>
      <c r="M338" s="29"/>
      <c r="N338" s="29"/>
      <c r="O338" s="29"/>
      <c r="P338" s="29"/>
      <c r="Q338" s="29"/>
      <c r="R338" s="29"/>
      <c r="S338" s="37"/>
      <c r="T338" s="29"/>
      <c r="U338" s="29"/>
    </row>
    <row r="339" spans="3:21" ht="16.5" customHeight="1">
      <c r="C339" s="29"/>
      <c r="D339" s="29"/>
      <c r="E339" s="29"/>
      <c r="H339" s="29"/>
      <c r="I339" s="29"/>
      <c r="J339" s="29"/>
      <c r="K339" s="31"/>
      <c r="L339" s="32"/>
      <c r="M339" s="29"/>
      <c r="N339" s="29"/>
      <c r="O339" s="29"/>
      <c r="P339" s="29"/>
      <c r="Q339" s="29"/>
      <c r="R339" s="29"/>
      <c r="S339" s="37"/>
      <c r="T339" s="29"/>
      <c r="U339" s="29"/>
    </row>
    <row r="340" spans="3:21" ht="16.5" customHeight="1">
      <c r="C340" s="29"/>
      <c r="D340" s="29"/>
      <c r="E340" s="29"/>
      <c r="H340" s="29"/>
      <c r="I340" s="29"/>
      <c r="J340" s="29"/>
      <c r="K340" s="31"/>
      <c r="L340" s="32"/>
      <c r="M340" s="29"/>
      <c r="N340" s="29"/>
      <c r="O340" s="29"/>
      <c r="P340" s="29"/>
      <c r="Q340" s="29"/>
      <c r="R340" s="29"/>
      <c r="S340" s="37"/>
      <c r="T340" s="29"/>
      <c r="U340" s="29"/>
    </row>
    <row r="341" spans="3:21" ht="16.5" customHeight="1">
      <c r="C341" s="29"/>
      <c r="D341" s="29"/>
      <c r="E341" s="29"/>
      <c r="H341" s="29"/>
      <c r="I341" s="29"/>
      <c r="J341" s="29"/>
      <c r="K341" s="31"/>
      <c r="L341" s="32"/>
      <c r="M341" s="29"/>
      <c r="N341" s="29"/>
      <c r="O341" s="29"/>
      <c r="P341" s="29"/>
      <c r="Q341" s="29"/>
      <c r="R341" s="29"/>
      <c r="S341" s="37"/>
      <c r="T341" s="29"/>
      <c r="U341" s="29"/>
    </row>
    <row r="342" spans="3:21" ht="16.5" customHeight="1">
      <c r="C342" s="29"/>
      <c r="D342" s="29"/>
      <c r="E342" s="29"/>
      <c r="H342" s="29"/>
      <c r="I342" s="29"/>
      <c r="J342" s="29"/>
      <c r="K342" s="31"/>
      <c r="L342" s="32"/>
      <c r="M342" s="29"/>
      <c r="N342" s="29"/>
      <c r="O342" s="29"/>
      <c r="P342" s="29"/>
      <c r="Q342" s="29"/>
      <c r="R342" s="29"/>
      <c r="S342" s="37"/>
      <c r="T342" s="29"/>
      <c r="U342" s="29"/>
    </row>
    <row r="343" spans="3:21" ht="16.5" customHeight="1">
      <c r="C343" s="29"/>
      <c r="D343" s="29"/>
      <c r="E343" s="29"/>
      <c r="H343" s="29"/>
      <c r="I343" s="29"/>
      <c r="J343" s="29"/>
      <c r="K343" s="31"/>
      <c r="L343" s="32"/>
      <c r="M343" s="29"/>
      <c r="N343" s="29"/>
      <c r="O343" s="29"/>
      <c r="P343" s="29"/>
      <c r="Q343" s="29"/>
      <c r="R343" s="29"/>
      <c r="S343" s="37"/>
      <c r="T343" s="29"/>
      <c r="U343" s="29"/>
    </row>
    <row r="344" spans="3:21" ht="16.5" customHeight="1">
      <c r="C344" s="29"/>
      <c r="D344" s="29"/>
      <c r="E344" s="29"/>
      <c r="H344" s="29"/>
      <c r="I344" s="29"/>
      <c r="J344" s="29"/>
      <c r="K344" s="31"/>
      <c r="L344" s="32"/>
      <c r="M344" s="29"/>
      <c r="N344" s="29"/>
      <c r="O344" s="29"/>
      <c r="P344" s="29"/>
      <c r="Q344" s="29"/>
      <c r="R344" s="29"/>
      <c r="S344" s="37"/>
      <c r="T344" s="29"/>
      <c r="U344" s="29"/>
    </row>
    <row r="345" spans="3:21" ht="16.5" customHeight="1">
      <c r="C345" s="29"/>
      <c r="D345" s="29"/>
      <c r="E345" s="29"/>
      <c r="H345" s="29"/>
      <c r="I345" s="29"/>
      <c r="J345" s="29"/>
      <c r="K345" s="31"/>
      <c r="L345" s="32"/>
      <c r="M345" s="29"/>
      <c r="N345" s="29"/>
      <c r="O345" s="29"/>
      <c r="P345" s="29"/>
      <c r="Q345" s="29"/>
      <c r="R345" s="29"/>
      <c r="S345" s="37"/>
      <c r="T345" s="29"/>
      <c r="U345" s="29"/>
    </row>
    <row r="346" spans="3:21" ht="16.5" customHeight="1">
      <c r="C346" s="29"/>
      <c r="D346" s="29"/>
      <c r="E346" s="29"/>
      <c r="H346" s="29"/>
      <c r="I346" s="29"/>
      <c r="J346" s="29"/>
      <c r="K346" s="31"/>
      <c r="L346" s="32"/>
      <c r="M346" s="29"/>
      <c r="N346" s="29"/>
      <c r="O346" s="29"/>
      <c r="P346" s="29"/>
      <c r="Q346" s="29"/>
      <c r="R346" s="29"/>
      <c r="S346" s="37"/>
      <c r="T346" s="29"/>
      <c r="U346" s="29"/>
    </row>
    <row r="347" spans="3:21" ht="16.5" customHeight="1">
      <c r="C347" s="29"/>
      <c r="D347" s="29"/>
      <c r="E347" s="29"/>
      <c r="H347" s="29"/>
      <c r="I347" s="29"/>
      <c r="J347" s="29"/>
      <c r="K347" s="31"/>
      <c r="L347" s="32"/>
      <c r="M347" s="29"/>
      <c r="N347" s="29"/>
      <c r="O347" s="29"/>
      <c r="P347" s="29"/>
      <c r="Q347" s="29"/>
      <c r="R347" s="29"/>
      <c r="S347" s="37"/>
      <c r="T347" s="29"/>
      <c r="U347" s="29"/>
    </row>
    <row r="348" spans="3:21" ht="16.5" customHeight="1">
      <c r="C348" s="29"/>
      <c r="D348" s="29"/>
      <c r="E348" s="29"/>
      <c r="H348" s="29"/>
      <c r="I348" s="29"/>
      <c r="J348" s="29"/>
      <c r="K348" s="31"/>
      <c r="L348" s="32"/>
      <c r="M348" s="29"/>
      <c r="N348" s="29"/>
      <c r="O348" s="29"/>
      <c r="P348" s="29"/>
      <c r="Q348" s="29"/>
      <c r="R348" s="29"/>
      <c r="S348" s="37"/>
      <c r="T348" s="29"/>
      <c r="U348" s="29"/>
    </row>
    <row r="349" spans="3:21" ht="16.5" customHeight="1">
      <c r="C349" s="29"/>
      <c r="D349" s="29"/>
      <c r="E349" s="29"/>
      <c r="H349" s="29"/>
      <c r="I349" s="29"/>
      <c r="J349" s="29"/>
      <c r="K349" s="31"/>
      <c r="L349" s="32"/>
      <c r="M349" s="29"/>
      <c r="N349" s="29"/>
      <c r="O349" s="29"/>
      <c r="P349" s="29"/>
      <c r="Q349" s="29"/>
      <c r="R349" s="29"/>
      <c r="S349" s="37"/>
      <c r="T349" s="29"/>
      <c r="U349" s="29"/>
    </row>
    <row r="350" spans="3:21" ht="16.5" customHeight="1">
      <c r="C350" s="29"/>
      <c r="D350" s="29"/>
      <c r="E350" s="29"/>
      <c r="H350" s="29"/>
      <c r="I350" s="29"/>
      <c r="J350" s="29"/>
      <c r="K350" s="31"/>
      <c r="L350" s="32"/>
      <c r="M350" s="29"/>
      <c r="N350" s="29"/>
      <c r="O350" s="29"/>
      <c r="P350" s="29"/>
      <c r="Q350" s="29"/>
      <c r="R350" s="29"/>
      <c r="S350" s="37"/>
      <c r="T350" s="29"/>
      <c r="U350" s="29"/>
    </row>
    <row r="351" spans="3:21" ht="16.5" customHeight="1">
      <c r="C351" s="29"/>
      <c r="D351" s="29"/>
      <c r="E351" s="29"/>
      <c r="H351" s="29"/>
      <c r="I351" s="29"/>
      <c r="J351" s="29"/>
      <c r="K351" s="31"/>
      <c r="L351" s="32"/>
      <c r="M351" s="29"/>
      <c r="N351" s="29"/>
      <c r="O351" s="29"/>
      <c r="P351" s="29"/>
      <c r="Q351" s="29"/>
      <c r="R351" s="29"/>
      <c r="S351" s="37"/>
      <c r="T351" s="29"/>
      <c r="U351" s="29"/>
    </row>
    <row r="352" spans="3:21" ht="16.5" customHeight="1">
      <c r="C352" s="29"/>
      <c r="D352" s="29"/>
      <c r="E352" s="29"/>
      <c r="H352" s="29"/>
      <c r="I352" s="29"/>
      <c r="J352" s="29"/>
      <c r="K352" s="31"/>
      <c r="L352" s="32"/>
      <c r="M352" s="29"/>
      <c r="N352" s="29"/>
      <c r="O352" s="29"/>
      <c r="P352" s="29"/>
      <c r="Q352" s="29"/>
      <c r="R352" s="29"/>
      <c r="S352" s="37"/>
      <c r="T352" s="29"/>
      <c r="U352" s="29"/>
    </row>
    <row r="353" spans="3:21" ht="16.5" customHeight="1">
      <c r="C353" s="29"/>
      <c r="D353" s="29"/>
      <c r="E353" s="29"/>
      <c r="H353" s="29"/>
      <c r="I353" s="29"/>
      <c r="J353" s="29"/>
      <c r="K353" s="31"/>
      <c r="L353" s="32"/>
      <c r="M353" s="29"/>
      <c r="N353" s="29"/>
      <c r="O353" s="29"/>
      <c r="P353" s="29"/>
      <c r="Q353" s="29"/>
      <c r="R353" s="29"/>
      <c r="S353" s="37"/>
      <c r="T353" s="29"/>
      <c r="U353" s="29"/>
    </row>
    <row r="354" spans="3:21" ht="16.5" customHeight="1">
      <c r="C354" s="29"/>
      <c r="D354" s="29"/>
      <c r="E354" s="29"/>
      <c r="H354" s="29"/>
      <c r="I354" s="29"/>
      <c r="J354" s="29"/>
      <c r="K354" s="31"/>
      <c r="L354" s="32"/>
      <c r="M354" s="29"/>
      <c r="N354" s="29"/>
      <c r="O354" s="29"/>
      <c r="P354" s="29"/>
      <c r="Q354" s="29"/>
      <c r="R354" s="29"/>
      <c r="S354" s="37"/>
      <c r="T354" s="29"/>
      <c r="U354" s="29"/>
    </row>
    <row r="355" spans="3:21" ht="16.5" customHeight="1">
      <c r="C355" s="29"/>
      <c r="D355" s="29"/>
      <c r="E355" s="29"/>
      <c r="H355" s="29"/>
      <c r="I355" s="29"/>
      <c r="J355" s="29"/>
      <c r="K355" s="31"/>
      <c r="L355" s="32"/>
      <c r="M355" s="29"/>
      <c r="N355" s="29"/>
      <c r="O355" s="29"/>
      <c r="P355" s="29"/>
      <c r="Q355" s="29"/>
      <c r="R355" s="29"/>
      <c r="S355" s="37"/>
      <c r="T355" s="29"/>
      <c r="U355" s="29"/>
    </row>
    <row r="356" spans="3:21" ht="16.5" customHeight="1">
      <c r="C356" s="29"/>
      <c r="D356" s="29"/>
      <c r="E356" s="29"/>
      <c r="H356" s="29"/>
      <c r="I356" s="29"/>
      <c r="J356" s="29"/>
      <c r="K356" s="31"/>
      <c r="L356" s="32"/>
      <c r="M356" s="29"/>
      <c r="N356" s="29"/>
      <c r="O356" s="29"/>
      <c r="P356" s="29"/>
      <c r="Q356" s="29"/>
      <c r="R356" s="29"/>
      <c r="S356" s="37"/>
      <c r="T356" s="29"/>
      <c r="U356" s="29"/>
    </row>
    <row r="357" spans="3:21" ht="16.5" customHeight="1">
      <c r="C357" s="29"/>
      <c r="D357" s="29"/>
      <c r="E357" s="29"/>
      <c r="H357" s="29"/>
      <c r="I357" s="29"/>
      <c r="J357" s="29"/>
      <c r="K357" s="31"/>
      <c r="L357" s="32"/>
      <c r="M357" s="29"/>
      <c r="N357" s="29"/>
      <c r="O357" s="29"/>
      <c r="P357" s="29"/>
      <c r="Q357" s="29"/>
      <c r="R357" s="29"/>
      <c r="S357" s="37"/>
      <c r="T357" s="29"/>
      <c r="U357" s="29"/>
    </row>
    <row r="358" spans="3:21" ht="16.5" customHeight="1">
      <c r="C358" s="29"/>
      <c r="D358" s="29"/>
      <c r="E358" s="29"/>
      <c r="H358" s="29"/>
      <c r="I358" s="29"/>
      <c r="J358" s="29"/>
      <c r="K358" s="31"/>
      <c r="L358" s="32"/>
      <c r="M358" s="29"/>
      <c r="N358" s="29"/>
      <c r="O358" s="29"/>
      <c r="P358" s="29"/>
      <c r="Q358" s="29"/>
      <c r="R358" s="29"/>
      <c r="S358" s="37"/>
      <c r="T358" s="29"/>
      <c r="U358" s="29"/>
    </row>
    <row r="359" spans="3:21" ht="16.5" customHeight="1">
      <c r="C359" s="29"/>
      <c r="D359" s="29"/>
      <c r="E359" s="29"/>
      <c r="H359" s="29"/>
      <c r="I359" s="29"/>
      <c r="J359" s="29"/>
      <c r="K359" s="31"/>
      <c r="L359" s="32"/>
      <c r="M359" s="29"/>
      <c r="N359" s="29"/>
      <c r="O359" s="29"/>
      <c r="P359" s="29"/>
      <c r="Q359" s="29"/>
      <c r="R359" s="29"/>
      <c r="S359" s="37"/>
      <c r="T359" s="29"/>
      <c r="U359" s="29"/>
    </row>
    <row r="360" spans="3:21" ht="16.5" customHeight="1">
      <c r="C360" s="29"/>
      <c r="D360" s="29"/>
      <c r="E360" s="29"/>
      <c r="H360" s="29"/>
      <c r="I360" s="29"/>
      <c r="J360" s="29"/>
      <c r="K360" s="31"/>
      <c r="L360" s="32"/>
      <c r="M360" s="29"/>
      <c r="N360" s="29"/>
      <c r="O360" s="29"/>
      <c r="P360" s="29"/>
      <c r="Q360" s="29"/>
      <c r="R360" s="29"/>
      <c r="S360" s="37"/>
      <c r="T360" s="29"/>
      <c r="U360" s="29"/>
    </row>
    <row r="361" spans="3:21" ht="16.5" customHeight="1">
      <c r="C361" s="29"/>
      <c r="D361" s="29"/>
      <c r="E361" s="29"/>
      <c r="H361" s="29"/>
      <c r="I361" s="29"/>
      <c r="J361" s="29"/>
      <c r="K361" s="31"/>
      <c r="L361" s="32"/>
      <c r="M361" s="29"/>
      <c r="N361" s="29"/>
      <c r="O361" s="29"/>
      <c r="P361" s="29"/>
      <c r="Q361" s="29"/>
      <c r="R361" s="29"/>
      <c r="S361" s="37"/>
      <c r="T361" s="29"/>
      <c r="U361" s="29"/>
    </row>
    <row r="362" spans="3:21" ht="16.5" customHeight="1">
      <c r="C362" s="29"/>
      <c r="D362" s="29"/>
      <c r="E362" s="29"/>
      <c r="H362" s="29"/>
      <c r="I362" s="29"/>
      <c r="J362" s="29"/>
      <c r="K362" s="31"/>
      <c r="L362" s="32"/>
      <c r="M362" s="29"/>
      <c r="N362" s="29"/>
      <c r="O362" s="29"/>
      <c r="P362" s="29"/>
      <c r="Q362" s="29"/>
      <c r="R362" s="29"/>
      <c r="S362" s="37"/>
      <c r="T362" s="29"/>
      <c r="U362" s="29"/>
    </row>
    <row r="363" spans="3:21" ht="16.5" customHeight="1">
      <c r="C363" s="29"/>
      <c r="D363" s="29"/>
      <c r="E363" s="29"/>
      <c r="H363" s="29"/>
      <c r="I363" s="29"/>
      <c r="J363" s="29"/>
      <c r="K363" s="31"/>
      <c r="L363" s="32"/>
      <c r="M363" s="29"/>
      <c r="N363" s="29"/>
      <c r="O363" s="29"/>
      <c r="P363" s="29"/>
      <c r="Q363" s="29"/>
      <c r="R363" s="29"/>
      <c r="S363" s="37"/>
      <c r="T363" s="29"/>
      <c r="U363" s="29"/>
    </row>
    <row r="364" spans="3:21" ht="16.5" customHeight="1">
      <c r="C364" s="29"/>
      <c r="D364" s="29"/>
      <c r="E364" s="29"/>
      <c r="H364" s="29"/>
      <c r="I364" s="29"/>
      <c r="J364" s="29"/>
      <c r="K364" s="31"/>
      <c r="L364" s="32"/>
      <c r="M364" s="29"/>
      <c r="N364" s="29"/>
      <c r="O364" s="29"/>
      <c r="P364" s="29"/>
      <c r="Q364" s="29"/>
      <c r="R364" s="29"/>
      <c r="S364" s="37"/>
      <c r="T364" s="29"/>
      <c r="U364" s="29"/>
    </row>
    <row r="365" spans="3:21" ht="16.5" customHeight="1">
      <c r="C365" s="29"/>
      <c r="D365" s="29"/>
      <c r="E365" s="29"/>
      <c r="H365" s="29"/>
      <c r="I365" s="29"/>
      <c r="J365" s="29"/>
      <c r="K365" s="31"/>
      <c r="L365" s="32"/>
      <c r="M365" s="29"/>
      <c r="N365" s="29"/>
      <c r="O365" s="29"/>
      <c r="P365" s="29"/>
      <c r="Q365" s="29"/>
      <c r="R365" s="29"/>
      <c r="S365" s="37"/>
      <c r="T365" s="29"/>
      <c r="U365" s="29"/>
    </row>
    <row r="366" spans="3:21" ht="16.5" customHeight="1">
      <c r="C366" s="29"/>
      <c r="D366" s="29"/>
      <c r="E366" s="29"/>
      <c r="H366" s="29"/>
      <c r="I366" s="29"/>
      <c r="J366" s="29"/>
      <c r="K366" s="31"/>
      <c r="L366" s="32"/>
      <c r="M366" s="29"/>
      <c r="N366" s="29"/>
      <c r="O366" s="29"/>
      <c r="P366" s="29"/>
      <c r="Q366" s="29"/>
      <c r="R366" s="29"/>
      <c r="S366" s="37"/>
      <c r="T366" s="29"/>
      <c r="U366" s="29"/>
    </row>
    <row r="367" spans="3:21" ht="16.5" customHeight="1">
      <c r="C367" s="29"/>
      <c r="D367" s="29"/>
      <c r="E367" s="29"/>
      <c r="H367" s="29"/>
      <c r="I367" s="29"/>
      <c r="J367" s="29"/>
      <c r="K367" s="31"/>
      <c r="L367" s="32"/>
      <c r="M367" s="29"/>
      <c r="N367" s="29"/>
      <c r="O367" s="29"/>
      <c r="P367" s="29"/>
      <c r="Q367" s="29"/>
      <c r="R367" s="29"/>
      <c r="S367" s="37"/>
      <c r="T367" s="29"/>
      <c r="U367" s="29"/>
    </row>
    <row r="368" spans="3:21" ht="16.5" customHeight="1">
      <c r="C368" s="29"/>
      <c r="D368" s="29"/>
      <c r="E368" s="29"/>
      <c r="H368" s="29"/>
      <c r="I368" s="29"/>
      <c r="J368" s="29"/>
      <c r="K368" s="31"/>
      <c r="L368" s="32"/>
      <c r="M368" s="29"/>
      <c r="N368" s="29"/>
      <c r="O368" s="29"/>
      <c r="P368" s="29"/>
      <c r="Q368" s="29"/>
      <c r="R368" s="29"/>
      <c r="S368" s="37"/>
      <c r="T368" s="29"/>
      <c r="U368" s="29"/>
    </row>
    <row r="369" spans="3:21" ht="16.5" customHeight="1">
      <c r="C369" s="29"/>
      <c r="D369" s="29"/>
      <c r="E369" s="29"/>
      <c r="H369" s="29"/>
      <c r="I369" s="29"/>
      <c r="J369" s="29"/>
      <c r="K369" s="31"/>
      <c r="L369" s="32"/>
      <c r="M369" s="29"/>
      <c r="N369" s="29"/>
      <c r="O369" s="29"/>
      <c r="P369" s="29"/>
      <c r="Q369" s="29"/>
      <c r="R369" s="29"/>
      <c r="S369" s="37"/>
      <c r="T369" s="29"/>
      <c r="U369" s="29"/>
    </row>
    <row r="370" spans="3:21" ht="16.5" customHeight="1">
      <c r="C370" s="29"/>
      <c r="D370" s="29"/>
      <c r="E370" s="29"/>
      <c r="H370" s="29"/>
      <c r="I370" s="29"/>
      <c r="J370" s="29"/>
      <c r="K370" s="31"/>
      <c r="L370" s="32"/>
      <c r="M370" s="29"/>
      <c r="N370" s="29"/>
      <c r="O370" s="29"/>
      <c r="P370" s="29"/>
      <c r="Q370" s="29"/>
      <c r="R370" s="29"/>
      <c r="S370" s="37"/>
      <c r="T370" s="29"/>
      <c r="U370" s="29"/>
    </row>
    <row r="371" spans="3:21" ht="16.5" customHeight="1">
      <c r="C371" s="29"/>
      <c r="D371" s="29"/>
      <c r="E371" s="29"/>
      <c r="H371" s="29"/>
      <c r="I371" s="29"/>
      <c r="J371" s="29"/>
      <c r="K371" s="31"/>
      <c r="L371" s="32"/>
      <c r="M371" s="29"/>
      <c r="N371" s="29"/>
      <c r="O371" s="29"/>
      <c r="P371" s="29"/>
      <c r="Q371" s="29"/>
      <c r="R371" s="29"/>
      <c r="S371" s="37"/>
      <c r="T371" s="29"/>
      <c r="U371" s="29"/>
    </row>
    <row r="372" spans="3:21" ht="16.5" customHeight="1">
      <c r="C372" s="29"/>
      <c r="D372" s="29"/>
      <c r="E372" s="29"/>
      <c r="H372" s="29"/>
      <c r="I372" s="29"/>
      <c r="J372" s="29"/>
      <c r="K372" s="31"/>
      <c r="L372" s="32"/>
      <c r="M372" s="29"/>
      <c r="N372" s="29"/>
      <c r="O372" s="29"/>
      <c r="P372" s="29"/>
      <c r="Q372" s="29"/>
      <c r="R372" s="29"/>
      <c r="S372" s="37"/>
      <c r="T372" s="29"/>
      <c r="U372" s="29"/>
    </row>
    <row r="373" spans="3:21" ht="16.5" customHeight="1">
      <c r="C373" s="29"/>
      <c r="D373" s="29"/>
      <c r="E373" s="29"/>
      <c r="H373" s="29"/>
      <c r="I373" s="29"/>
      <c r="J373" s="29"/>
      <c r="K373" s="31"/>
      <c r="L373" s="32"/>
      <c r="M373" s="29"/>
      <c r="N373" s="29"/>
      <c r="O373" s="29"/>
      <c r="P373" s="29"/>
      <c r="Q373" s="29"/>
      <c r="R373" s="29"/>
      <c r="S373" s="37"/>
      <c r="T373" s="29"/>
      <c r="U373" s="29"/>
    </row>
    <row r="374" spans="3:21" ht="16.5" customHeight="1">
      <c r="C374" s="29"/>
      <c r="D374" s="29"/>
      <c r="E374" s="29"/>
      <c r="H374" s="29"/>
      <c r="I374" s="29"/>
      <c r="J374" s="29"/>
      <c r="K374" s="31"/>
      <c r="L374" s="32"/>
      <c r="M374" s="29"/>
      <c r="N374" s="29"/>
      <c r="O374" s="29"/>
      <c r="P374" s="29"/>
      <c r="Q374" s="29"/>
      <c r="R374" s="29"/>
      <c r="S374" s="37"/>
      <c r="T374" s="29"/>
      <c r="U374" s="29"/>
    </row>
    <row r="375" spans="3:21" ht="16.5" customHeight="1">
      <c r="C375" s="29"/>
      <c r="D375" s="29"/>
      <c r="E375" s="29"/>
      <c r="H375" s="29"/>
      <c r="I375" s="29"/>
      <c r="J375" s="29"/>
      <c r="K375" s="31"/>
      <c r="L375" s="32"/>
      <c r="M375" s="29"/>
      <c r="N375" s="29"/>
      <c r="O375" s="29"/>
      <c r="P375" s="29"/>
      <c r="Q375" s="29"/>
      <c r="R375" s="29"/>
      <c r="S375" s="37"/>
      <c r="T375" s="29"/>
      <c r="U375" s="29"/>
    </row>
    <row r="376" spans="3:21" ht="16.5" customHeight="1">
      <c r="C376" s="29"/>
      <c r="D376" s="29"/>
      <c r="E376" s="29"/>
      <c r="H376" s="29"/>
      <c r="I376" s="29"/>
      <c r="J376" s="29"/>
      <c r="K376" s="31"/>
      <c r="L376" s="32"/>
      <c r="M376" s="29"/>
      <c r="N376" s="29"/>
      <c r="O376" s="29"/>
      <c r="P376" s="29"/>
      <c r="Q376" s="29"/>
      <c r="R376" s="29"/>
      <c r="S376" s="37"/>
      <c r="T376" s="29"/>
      <c r="U376" s="29"/>
    </row>
    <row r="377" spans="3:21" ht="16.5" customHeight="1">
      <c r="C377" s="29"/>
      <c r="D377" s="29"/>
      <c r="E377" s="29"/>
      <c r="H377" s="29"/>
      <c r="I377" s="29"/>
      <c r="J377" s="29"/>
      <c r="K377" s="31"/>
      <c r="L377" s="32"/>
      <c r="M377" s="29"/>
      <c r="N377" s="29"/>
      <c r="O377" s="29"/>
      <c r="P377" s="29"/>
      <c r="Q377" s="29"/>
      <c r="R377" s="29"/>
      <c r="S377" s="37"/>
      <c r="T377" s="29"/>
      <c r="U377" s="29"/>
    </row>
    <row r="378" spans="3:21" ht="16.5" customHeight="1">
      <c r="C378" s="29"/>
      <c r="D378" s="29"/>
      <c r="E378" s="29"/>
      <c r="H378" s="29"/>
      <c r="I378" s="29"/>
      <c r="J378" s="29"/>
      <c r="K378" s="31"/>
      <c r="L378" s="32"/>
      <c r="M378" s="29"/>
      <c r="N378" s="29"/>
      <c r="O378" s="29"/>
      <c r="P378" s="29"/>
      <c r="Q378" s="29"/>
      <c r="R378" s="29"/>
      <c r="S378" s="37"/>
      <c r="T378" s="29"/>
      <c r="U378" s="29"/>
    </row>
    <row r="379" spans="3:21" ht="16.5" customHeight="1">
      <c r="C379" s="29"/>
      <c r="D379" s="29"/>
      <c r="E379" s="29"/>
      <c r="H379" s="29"/>
      <c r="I379" s="29"/>
      <c r="J379" s="29"/>
      <c r="K379" s="31"/>
      <c r="L379" s="32"/>
      <c r="M379" s="29"/>
      <c r="N379" s="29"/>
      <c r="O379" s="29"/>
      <c r="P379" s="29"/>
      <c r="Q379" s="29"/>
      <c r="R379" s="29"/>
      <c r="S379" s="37"/>
      <c r="T379" s="29"/>
      <c r="U379" s="29"/>
    </row>
    <row r="380" spans="3:21" ht="16.5" customHeight="1">
      <c r="C380" s="29"/>
      <c r="D380" s="29"/>
      <c r="E380" s="29"/>
      <c r="H380" s="29"/>
      <c r="I380" s="29"/>
      <c r="J380" s="29"/>
      <c r="K380" s="31"/>
      <c r="L380" s="32"/>
      <c r="M380" s="29"/>
      <c r="N380" s="29"/>
      <c r="O380" s="29"/>
      <c r="P380" s="29"/>
      <c r="Q380" s="29"/>
      <c r="R380" s="29"/>
      <c r="S380" s="37"/>
      <c r="T380" s="29"/>
      <c r="U380" s="29"/>
    </row>
    <row r="381" spans="3:21" ht="16.5" customHeight="1">
      <c r="C381" s="29"/>
      <c r="D381" s="29"/>
      <c r="E381" s="29"/>
      <c r="H381" s="29"/>
      <c r="I381" s="29"/>
      <c r="J381" s="29"/>
      <c r="K381" s="31"/>
      <c r="L381" s="32"/>
      <c r="M381" s="29"/>
      <c r="N381" s="29"/>
      <c r="O381" s="29"/>
      <c r="P381" s="29"/>
      <c r="Q381" s="29"/>
      <c r="R381" s="29"/>
      <c r="S381" s="37"/>
      <c r="T381" s="29"/>
      <c r="U381" s="29"/>
    </row>
    <row r="382" spans="3:21" ht="16.5" customHeight="1">
      <c r="C382" s="29"/>
      <c r="D382" s="29"/>
      <c r="E382" s="29"/>
      <c r="H382" s="29"/>
      <c r="I382" s="29"/>
      <c r="J382" s="29"/>
      <c r="K382" s="31"/>
      <c r="L382" s="32"/>
      <c r="M382" s="29"/>
      <c r="N382" s="29"/>
      <c r="O382" s="29"/>
      <c r="P382" s="29"/>
      <c r="Q382" s="29"/>
      <c r="R382" s="29"/>
      <c r="S382" s="37"/>
      <c r="T382" s="29"/>
      <c r="U382" s="29"/>
    </row>
    <row r="383" spans="3:21" ht="16.5" customHeight="1">
      <c r="C383" s="29"/>
      <c r="D383" s="29"/>
      <c r="E383" s="29"/>
      <c r="H383" s="29"/>
      <c r="I383" s="29"/>
      <c r="J383" s="29"/>
      <c r="K383" s="31"/>
      <c r="L383" s="32"/>
      <c r="M383" s="29"/>
      <c r="N383" s="29"/>
      <c r="O383" s="29"/>
      <c r="P383" s="29"/>
      <c r="Q383" s="29"/>
      <c r="R383" s="29"/>
      <c r="S383" s="37"/>
      <c r="T383" s="29"/>
      <c r="U383" s="29"/>
    </row>
    <row r="384" spans="3:21" ht="16.5" customHeight="1">
      <c r="C384" s="29"/>
      <c r="D384" s="29"/>
      <c r="E384" s="29"/>
      <c r="H384" s="29"/>
      <c r="I384" s="29"/>
      <c r="J384" s="29"/>
      <c r="K384" s="31"/>
      <c r="L384" s="32"/>
      <c r="M384" s="29"/>
      <c r="N384" s="29"/>
      <c r="O384" s="29"/>
      <c r="P384" s="29"/>
      <c r="Q384" s="29"/>
      <c r="R384" s="29"/>
      <c r="S384" s="37"/>
      <c r="T384" s="29"/>
      <c r="U384" s="29"/>
    </row>
    <row r="385" spans="3:21" ht="16.5" customHeight="1">
      <c r="C385" s="29"/>
      <c r="D385" s="29"/>
      <c r="E385" s="29"/>
      <c r="H385" s="29"/>
      <c r="I385" s="29"/>
      <c r="J385" s="29"/>
      <c r="K385" s="31"/>
      <c r="L385" s="32"/>
      <c r="M385" s="29"/>
      <c r="N385" s="29"/>
      <c r="O385" s="29"/>
      <c r="P385" s="29"/>
      <c r="Q385" s="29"/>
      <c r="R385" s="29"/>
      <c r="S385" s="37"/>
      <c r="T385" s="29"/>
      <c r="U385" s="29"/>
    </row>
    <row r="386" spans="3:21" ht="16.5" customHeight="1">
      <c r="C386" s="29"/>
      <c r="D386" s="29"/>
      <c r="E386" s="29"/>
      <c r="H386" s="29"/>
      <c r="I386" s="29"/>
      <c r="J386" s="29"/>
      <c r="K386" s="31"/>
      <c r="L386" s="32"/>
      <c r="M386" s="29"/>
      <c r="N386" s="29"/>
      <c r="O386" s="29"/>
      <c r="P386" s="29"/>
      <c r="Q386" s="29"/>
      <c r="R386" s="29"/>
      <c r="S386" s="37"/>
      <c r="T386" s="29"/>
      <c r="U386" s="29"/>
    </row>
    <row r="387" spans="3:21" ht="16.5" customHeight="1">
      <c r="C387" s="29"/>
      <c r="D387" s="29"/>
      <c r="E387" s="29"/>
      <c r="H387" s="29"/>
      <c r="I387" s="29"/>
      <c r="J387" s="29"/>
      <c r="K387" s="31"/>
      <c r="L387" s="32"/>
      <c r="M387" s="29"/>
      <c r="N387" s="29"/>
      <c r="O387" s="29"/>
      <c r="P387" s="29"/>
      <c r="Q387" s="29"/>
      <c r="R387" s="29"/>
      <c r="S387" s="37"/>
      <c r="T387" s="29"/>
      <c r="U387" s="29"/>
    </row>
    <row r="388" spans="3:21" ht="16.5" customHeight="1">
      <c r="C388" s="29"/>
      <c r="D388" s="29"/>
      <c r="E388" s="29"/>
      <c r="H388" s="29"/>
      <c r="I388" s="29"/>
      <c r="J388" s="29"/>
      <c r="K388" s="31"/>
      <c r="L388" s="32"/>
      <c r="M388" s="29"/>
      <c r="N388" s="29"/>
      <c r="O388" s="29"/>
      <c r="P388" s="29"/>
      <c r="Q388" s="29"/>
      <c r="R388" s="29"/>
      <c r="S388" s="37"/>
      <c r="T388" s="29"/>
      <c r="U388" s="29"/>
    </row>
    <row r="389" spans="3:21" ht="16.5" customHeight="1">
      <c r="C389" s="29"/>
      <c r="D389" s="29"/>
      <c r="E389" s="29"/>
      <c r="H389" s="29"/>
      <c r="I389" s="29"/>
      <c r="J389" s="29"/>
      <c r="K389" s="31"/>
      <c r="L389" s="32"/>
      <c r="M389" s="29"/>
      <c r="N389" s="29"/>
      <c r="O389" s="29"/>
      <c r="P389" s="29"/>
      <c r="Q389" s="29"/>
      <c r="R389" s="29"/>
      <c r="S389" s="37"/>
      <c r="T389" s="29"/>
      <c r="U389" s="29"/>
    </row>
    <row r="390" spans="3:21" ht="16.5" customHeight="1">
      <c r="C390" s="29"/>
      <c r="D390" s="29"/>
      <c r="E390" s="29"/>
      <c r="H390" s="29"/>
      <c r="I390" s="29"/>
      <c r="J390" s="29"/>
      <c r="K390" s="31"/>
      <c r="L390" s="32"/>
      <c r="M390" s="29"/>
      <c r="N390" s="29"/>
      <c r="O390" s="29"/>
      <c r="P390" s="29"/>
      <c r="Q390" s="29"/>
      <c r="R390" s="29"/>
      <c r="S390" s="37"/>
      <c r="T390" s="29"/>
      <c r="U390" s="29"/>
    </row>
    <row r="391" spans="3:21" ht="16.5" customHeight="1">
      <c r="C391" s="29"/>
      <c r="D391" s="29"/>
      <c r="E391" s="29"/>
      <c r="H391" s="29"/>
      <c r="I391" s="29"/>
      <c r="J391" s="29"/>
      <c r="K391" s="31"/>
      <c r="L391" s="32"/>
      <c r="M391" s="29"/>
      <c r="N391" s="29"/>
      <c r="O391" s="29"/>
      <c r="P391" s="29"/>
      <c r="Q391" s="29"/>
      <c r="R391" s="29"/>
      <c r="S391" s="37"/>
      <c r="T391" s="29"/>
      <c r="U391" s="29"/>
    </row>
    <row r="392" spans="3:21" ht="16.5" customHeight="1">
      <c r="C392" s="29"/>
      <c r="D392" s="29"/>
      <c r="E392" s="29"/>
      <c r="H392" s="29"/>
      <c r="I392" s="29"/>
      <c r="J392" s="29"/>
      <c r="K392" s="31"/>
      <c r="L392" s="32"/>
      <c r="M392" s="29"/>
      <c r="N392" s="29"/>
      <c r="O392" s="29"/>
      <c r="P392" s="29"/>
      <c r="Q392" s="29"/>
      <c r="R392" s="29"/>
      <c r="S392" s="37"/>
      <c r="T392" s="29"/>
      <c r="U392" s="29"/>
    </row>
    <row r="393" spans="3:21" ht="16.5" customHeight="1">
      <c r="C393" s="29"/>
      <c r="D393" s="29"/>
      <c r="E393" s="29"/>
      <c r="H393" s="29"/>
      <c r="I393" s="29"/>
      <c r="J393" s="29"/>
      <c r="K393" s="31"/>
      <c r="L393" s="32"/>
      <c r="M393" s="29"/>
      <c r="N393" s="29"/>
      <c r="O393" s="29"/>
      <c r="P393" s="29"/>
      <c r="Q393" s="29"/>
      <c r="R393" s="29"/>
      <c r="S393" s="37"/>
      <c r="T393" s="29"/>
      <c r="U393" s="29"/>
    </row>
    <row r="394" spans="3:21" ht="16.5" customHeight="1">
      <c r="C394" s="29"/>
      <c r="D394" s="29"/>
      <c r="E394" s="29"/>
      <c r="H394" s="29"/>
      <c r="I394" s="29"/>
      <c r="J394" s="29"/>
      <c r="K394" s="31"/>
      <c r="L394" s="32"/>
      <c r="M394" s="29"/>
      <c r="N394" s="29"/>
      <c r="O394" s="29"/>
      <c r="P394" s="29"/>
      <c r="Q394" s="29"/>
      <c r="R394" s="29"/>
      <c r="S394" s="37"/>
      <c r="T394" s="29"/>
      <c r="U394" s="29"/>
    </row>
    <row r="395" spans="3:21" ht="16.5" customHeight="1">
      <c r="C395" s="29"/>
      <c r="D395" s="29"/>
      <c r="E395" s="29"/>
      <c r="H395" s="29"/>
      <c r="I395" s="29"/>
      <c r="J395" s="29"/>
      <c r="K395" s="31"/>
      <c r="L395" s="32"/>
      <c r="M395" s="29"/>
      <c r="N395" s="29"/>
      <c r="O395" s="29"/>
      <c r="P395" s="29"/>
      <c r="Q395" s="29"/>
      <c r="R395" s="29"/>
      <c r="S395" s="37"/>
      <c r="T395" s="29"/>
      <c r="U395" s="29"/>
    </row>
    <row r="396" spans="3:21" ht="16.5" customHeight="1">
      <c r="C396" s="29"/>
      <c r="D396" s="29"/>
      <c r="E396" s="29"/>
      <c r="H396" s="29"/>
      <c r="I396" s="29"/>
      <c r="J396" s="29"/>
      <c r="K396" s="31"/>
      <c r="L396" s="32"/>
      <c r="M396" s="29"/>
      <c r="N396" s="29"/>
      <c r="O396" s="29"/>
      <c r="P396" s="29"/>
      <c r="Q396" s="29"/>
      <c r="R396" s="29"/>
      <c r="S396" s="37"/>
      <c r="T396" s="29"/>
      <c r="U396" s="29"/>
    </row>
    <row r="397" spans="3:21" ht="16.5" customHeight="1">
      <c r="C397" s="29"/>
      <c r="D397" s="29"/>
      <c r="E397" s="29"/>
      <c r="H397" s="29"/>
      <c r="I397" s="29"/>
      <c r="J397" s="29"/>
      <c r="K397" s="31"/>
      <c r="L397" s="32"/>
      <c r="M397" s="29"/>
      <c r="N397" s="29"/>
      <c r="O397" s="29"/>
      <c r="P397" s="29"/>
      <c r="Q397" s="29"/>
      <c r="R397" s="29"/>
      <c r="S397" s="37"/>
      <c r="T397" s="29"/>
      <c r="U397" s="29"/>
    </row>
    <row r="398" spans="3:21" ht="16.5" customHeight="1">
      <c r="C398" s="29"/>
      <c r="D398" s="29"/>
      <c r="E398" s="29"/>
      <c r="H398" s="29"/>
      <c r="I398" s="29"/>
      <c r="J398" s="29"/>
      <c r="K398" s="31"/>
      <c r="L398" s="32"/>
      <c r="M398" s="29"/>
      <c r="N398" s="29"/>
      <c r="O398" s="29"/>
      <c r="P398" s="29"/>
      <c r="Q398" s="29"/>
      <c r="R398" s="29"/>
      <c r="S398" s="37"/>
      <c r="T398" s="29"/>
      <c r="U398" s="29"/>
    </row>
    <row r="399" spans="3:21" ht="16.5" customHeight="1">
      <c r="C399" s="29"/>
      <c r="D399" s="29"/>
      <c r="E399" s="29"/>
      <c r="H399" s="29"/>
      <c r="I399" s="29"/>
      <c r="J399" s="29"/>
      <c r="K399" s="31"/>
      <c r="L399" s="32"/>
      <c r="M399" s="29"/>
      <c r="N399" s="29"/>
      <c r="O399" s="29"/>
      <c r="P399" s="29"/>
      <c r="Q399" s="29"/>
      <c r="R399" s="29"/>
      <c r="S399" s="37"/>
      <c r="T399" s="29"/>
      <c r="U399" s="29"/>
    </row>
    <row r="400" spans="3:21" ht="16.5" customHeight="1">
      <c r="C400" s="29"/>
      <c r="D400" s="29"/>
      <c r="E400" s="29"/>
      <c r="H400" s="29"/>
      <c r="I400" s="29"/>
      <c r="J400" s="29"/>
      <c r="K400" s="31"/>
      <c r="L400" s="32"/>
      <c r="M400" s="29"/>
      <c r="N400" s="29"/>
      <c r="O400" s="29"/>
      <c r="P400" s="29"/>
      <c r="Q400" s="29"/>
      <c r="R400" s="29"/>
      <c r="S400" s="37"/>
      <c r="T400" s="29"/>
      <c r="U400" s="29"/>
    </row>
    <row r="401" spans="3:21" ht="16.5" customHeight="1">
      <c r="C401" s="29"/>
      <c r="D401" s="29"/>
      <c r="E401" s="29"/>
      <c r="H401" s="29"/>
      <c r="I401" s="29"/>
      <c r="J401" s="29"/>
      <c r="K401" s="31"/>
      <c r="L401" s="32"/>
      <c r="M401" s="29"/>
      <c r="N401" s="29"/>
      <c r="O401" s="29"/>
      <c r="P401" s="29"/>
      <c r="Q401" s="29"/>
      <c r="R401" s="29"/>
      <c r="S401" s="37"/>
      <c r="T401" s="29"/>
      <c r="U401" s="29"/>
    </row>
    <row r="402" spans="3:21" ht="16.5" customHeight="1">
      <c r="C402" s="29"/>
      <c r="D402" s="29"/>
      <c r="E402" s="29"/>
      <c r="H402" s="29"/>
      <c r="I402" s="29"/>
      <c r="J402" s="29"/>
      <c r="K402" s="31"/>
      <c r="L402" s="32"/>
      <c r="M402" s="29"/>
      <c r="N402" s="29"/>
      <c r="O402" s="29"/>
      <c r="P402" s="29"/>
      <c r="Q402" s="29"/>
      <c r="R402" s="29"/>
      <c r="S402" s="37"/>
      <c r="T402" s="29"/>
      <c r="U402" s="29"/>
    </row>
    <row r="403" spans="3:21" ht="16.5" customHeight="1">
      <c r="C403" s="29"/>
      <c r="D403" s="29"/>
      <c r="E403" s="29"/>
      <c r="H403" s="29"/>
      <c r="I403" s="29"/>
      <c r="J403" s="29"/>
      <c r="K403" s="31"/>
      <c r="L403" s="32"/>
      <c r="M403" s="29"/>
      <c r="N403" s="29"/>
      <c r="O403" s="29"/>
      <c r="P403" s="29"/>
      <c r="Q403" s="29"/>
      <c r="R403" s="29"/>
      <c r="S403" s="37"/>
      <c r="T403" s="29"/>
      <c r="U403" s="29"/>
    </row>
    <row r="404" spans="3:21" ht="16.5" customHeight="1">
      <c r="C404" s="29"/>
      <c r="D404" s="29"/>
      <c r="E404" s="29"/>
      <c r="H404" s="29"/>
      <c r="I404" s="29"/>
      <c r="J404" s="29"/>
      <c r="K404" s="31"/>
      <c r="L404" s="32"/>
      <c r="M404" s="29"/>
      <c r="N404" s="29"/>
      <c r="O404" s="29"/>
      <c r="P404" s="29"/>
      <c r="Q404" s="29"/>
      <c r="R404" s="29"/>
      <c r="S404" s="37"/>
      <c r="T404" s="29"/>
      <c r="U404" s="29"/>
    </row>
    <row r="405" spans="3:21" ht="16.5" customHeight="1">
      <c r="C405" s="29"/>
      <c r="D405" s="29"/>
      <c r="E405" s="29"/>
      <c r="H405" s="29"/>
      <c r="I405" s="29"/>
      <c r="J405" s="29"/>
      <c r="K405" s="31"/>
      <c r="L405" s="32"/>
      <c r="M405" s="29"/>
      <c r="N405" s="29"/>
      <c r="O405" s="29"/>
      <c r="P405" s="29"/>
      <c r="Q405" s="29"/>
      <c r="R405" s="29"/>
      <c r="S405" s="37"/>
      <c r="T405" s="29"/>
      <c r="U405" s="29"/>
    </row>
    <row r="406" spans="3:21" ht="16.5" customHeight="1">
      <c r="C406" s="29"/>
      <c r="D406" s="29"/>
      <c r="E406" s="29"/>
      <c r="H406" s="29"/>
      <c r="I406" s="29"/>
      <c r="J406" s="29"/>
      <c r="K406" s="31"/>
      <c r="L406" s="32"/>
      <c r="M406" s="29"/>
      <c r="N406" s="29"/>
      <c r="O406" s="29"/>
      <c r="P406" s="29"/>
      <c r="Q406" s="29"/>
      <c r="R406" s="29"/>
      <c r="S406" s="37"/>
      <c r="T406" s="29"/>
      <c r="U406" s="29"/>
    </row>
    <row r="407" spans="3:21" ht="16.5" customHeight="1">
      <c r="C407" s="29"/>
      <c r="D407" s="29"/>
      <c r="E407" s="29"/>
      <c r="H407" s="29"/>
      <c r="I407" s="29"/>
      <c r="J407" s="29"/>
      <c r="K407" s="31"/>
      <c r="L407" s="32"/>
      <c r="M407" s="29"/>
      <c r="N407" s="29"/>
      <c r="O407" s="29"/>
      <c r="P407" s="29"/>
      <c r="Q407" s="29"/>
      <c r="R407" s="29"/>
      <c r="S407" s="37"/>
      <c r="T407" s="29"/>
      <c r="U407" s="29"/>
    </row>
    <row r="408" spans="3:21" ht="16.5" customHeight="1">
      <c r="C408" s="29"/>
      <c r="D408" s="29"/>
      <c r="E408" s="29"/>
      <c r="H408" s="29"/>
      <c r="I408" s="29"/>
      <c r="J408" s="29"/>
      <c r="K408" s="31"/>
      <c r="L408" s="32"/>
      <c r="M408" s="29"/>
      <c r="N408" s="29"/>
      <c r="O408" s="29"/>
      <c r="P408" s="29"/>
      <c r="Q408" s="29"/>
      <c r="R408" s="29"/>
      <c r="S408" s="37"/>
      <c r="T408" s="29"/>
      <c r="U408" s="29"/>
    </row>
    <row r="409" spans="3:21" ht="16.5" customHeight="1">
      <c r="C409" s="29"/>
      <c r="D409" s="29"/>
      <c r="E409" s="29"/>
      <c r="H409" s="29"/>
      <c r="I409" s="29"/>
      <c r="J409" s="29"/>
      <c r="K409" s="31"/>
      <c r="L409" s="32"/>
      <c r="M409" s="29"/>
      <c r="N409" s="29"/>
      <c r="O409" s="29"/>
      <c r="P409" s="29"/>
      <c r="Q409" s="29"/>
      <c r="R409" s="29"/>
      <c r="S409" s="37"/>
      <c r="T409" s="29"/>
      <c r="U409" s="29"/>
    </row>
    <row r="410" spans="3:21" ht="16.5" customHeight="1">
      <c r="C410" s="29"/>
      <c r="D410" s="29"/>
      <c r="E410" s="29"/>
      <c r="H410" s="29"/>
      <c r="I410" s="29"/>
      <c r="J410" s="29"/>
      <c r="K410" s="31"/>
      <c r="L410" s="32"/>
      <c r="M410" s="29"/>
      <c r="N410" s="29"/>
      <c r="O410" s="29"/>
      <c r="P410" s="29"/>
      <c r="Q410" s="29"/>
      <c r="R410" s="29"/>
      <c r="S410" s="37"/>
      <c r="T410" s="29"/>
      <c r="U410" s="29"/>
    </row>
    <row r="411" spans="3:21" ht="16.5" customHeight="1">
      <c r="C411" s="29"/>
      <c r="D411" s="29"/>
      <c r="E411" s="29"/>
      <c r="H411" s="29"/>
      <c r="I411" s="29"/>
      <c r="J411" s="29"/>
      <c r="K411" s="31"/>
      <c r="L411" s="32"/>
      <c r="M411" s="29"/>
      <c r="N411" s="29"/>
      <c r="O411" s="29"/>
      <c r="P411" s="29"/>
      <c r="Q411" s="29"/>
      <c r="R411" s="29"/>
      <c r="S411" s="37"/>
      <c r="T411" s="29"/>
      <c r="U411" s="29"/>
    </row>
    <row r="412" spans="3:21" ht="16.5" customHeight="1">
      <c r="C412" s="29"/>
      <c r="D412" s="29"/>
      <c r="E412" s="29"/>
      <c r="H412" s="29"/>
      <c r="I412" s="29"/>
      <c r="J412" s="29"/>
      <c r="K412" s="31"/>
      <c r="L412" s="32"/>
      <c r="M412" s="29"/>
      <c r="N412" s="29"/>
      <c r="O412" s="29"/>
      <c r="P412" s="29"/>
      <c r="Q412" s="29"/>
      <c r="R412" s="29"/>
      <c r="S412" s="37"/>
      <c r="T412" s="29"/>
      <c r="U412" s="29"/>
    </row>
    <row r="413" spans="3:21" ht="16.5" customHeight="1">
      <c r="C413" s="29"/>
      <c r="D413" s="29"/>
      <c r="E413" s="29"/>
      <c r="H413" s="29"/>
      <c r="I413" s="29"/>
      <c r="J413" s="29"/>
      <c r="K413" s="31"/>
      <c r="L413" s="32"/>
      <c r="M413" s="29"/>
      <c r="N413" s="29"/>
      <c r="O413" s="29"/>
      <c r="P413" s="29"/>
      <c r="Q413" s="29"/>
      <c r="R413" s="29"/>
      <c r="S413" s="37"/>
      <c r="T413" s="29"/>
      <c r="U413" s="29"/>
    </row>
    <row r="414" spans="3:21" ht="16.5" customHeight="1">
      <c r="C414" s="29"/>
      <c r="D414" s="29"/>
      <c r="E414" s="29"/>
      <c r="H414" s="29"/>
      <c r="I414" s="29"/>
      <c r="J414" s="29"/>
      <c r="K414" s="31"/>
      <c r="L414" s="32"/>
      <c r="M414" s="29"/>
      <c r="N414" s="29"/>
      <c r="O414" s="29"/>
      <c r="P414" s="29"/>
      <c r="Q414" s="29"/>
      <c r="R414" s="29"/>
      <c r="S414" s="37"/>
      <c r="T414" s="29"/>
      <c r="U414" s="29"/>
    </row>
    <row r="415" spans="3:21" ht="16.5" customHeight="1">
      <c r="C415" s="29"/>
      <c r="D415" s="29"/>
      <c r="E415" s="29"/>
      <c r="H415" s="29"/>
      <c r="I415" s="29"/>
      <c r="J415" s="29"/>
      <c r="K415" s="31"/>
      <c r="L415" s="32"/>
      <c r="M415" s="29"/>
      <c r="N415" s="29"/>
      <c r="O415" s="29"/>
      <c r="P415" s="29"/>
      <c r="Q415" s="29"/>
      <c r="R415" s="29"/>
      <c r="S415" s="37"/>
      <c r="T415" s="29"/>
      <c r="U415" s="29"/>
    </row>
    <row r="416" spans="3:21" ht="16.5" customHeight="1">
      <c r="C416" s="29"/>
      <c r="D416" s="29"/>
      <c r="E416" s="29"/>
      <c r="H416" s="29"/>
      <c r="I416" s="29"/>
      <c r="J416" s="29"/>
      <c r="K416" s="31"/>
      <c r="L416" s="32"/>
      <c r="M416" s="29"/>
      <c r="N416" s="29"/>
      <c r="O416" s="29"/>
      <c r="P416" s="29"/>
      <c r="Q416" s="29"/>
      <c r="R416" s="29"/>
      <c r="S416" s="37"/>
      <c r="T416" s="29"/>
      <c r="U416" s="29"/>
    </row>
    <row r="417" spans="3:21" ht="16.5" customHeight="1">
      <c r="C417" s="29"/>
      <c r="D417" s="29"/>
      <c r="E417" s="29"/>
      <c r="H417" s="29"/>
      <c r="I417" s="29"/>
      <c r="J417" s="29"/>
      <c r="K417" s="31"/>
      <c r="L417" s="32"/>
      <c r="M417" s="29"/>
      <c r="N417" s="29"/>
      <c r="O417" s="29"/>
      <c r="P417" s="29"/>
      <c r="Q417" s="29"/>
      <c r="R417" s="29"/>
      <c r="S417" s="37"/>
      <c r="T417" s="29"/>
      <c r="U417" s="29"/>
    </row>
    <row r="418" spans="3:21" ht="16.5" customHeight="1">
      <c r="C418" s="29"/>
      <c r="D418" s="29"/>
      <c r="E418" s="29"/>
      <c r="H418" s="29"/>
      <c r="I418" s="29"/>
      <c r="J418" s="29"/>
      <c r="K418" s="31"/>
      <c r="L418" s="32"/>
      <c r="M418" s="29"/>
      <c r="N418" s="29"/>
      <c r="O418" s="29"/>
      <c r="P418" s="29"/>
      <c r="Q418" s="29"/>
      <c r="R418" s="29"/>
      <c r="S418" s="37"/>
      <c r="T418" s="29"/>
      <c r="U418" s="29"/>
    </row>
    <row r="419" spans="3:21" ht="16.5" customHeight="1">
      <c r="C419" s="29"/>
      <c r="D419" s="29"/>
      <c r="E419" s="29"/>
      <c r="H419" s="29"/>
      <c r="I419" s="29"/>
      <c r="J419" s="29"/>
      <c r="K419" s="31"/>
      <c r="L419" s="32"/>
      <c r="M419" s="29"/>
      <c r="N419" s="29"/>
      <c r="O419" s="29"/>
      <c r="P419" s="29"/>
      <c r="Q419" s="29"/>
      <c r="R419" s="29"/>
      <c r="S419" s="37"/>
      <c r="T419" s="29"/>
      <c r="U419" s="29"/>
    </row>
    <row r="420" spans="3:21" ht="16.5" customHeight="1">
      <c r="C420" s="29"/>
      <c r="D420" s="29"/>
      <c r="E420" s="29"/>
      <c r="H420" s="29"/>
      <c r="I420" s="29"/>
      <c r="J420" s="29"/>
      <c r="K420" s="31"/>
      <c r="L420" s="32"/>
      <c r="M420" s="29"/>
      <c r="N420" s="29"/>
      <c r="O420" s="29"/>
      <c r="P420" s="29"/>
      <c r="Q420" s="29"/>
      <c r="R420" s="29"/>
      <c r="S420" s="37"/>
      <c r="T420" s="29"/>
      <c r="U420" s="29"/>
    </row>
    <row r="421" spans="3:21" ht="16.5" customHeight="1">
      <c r="C421" s="29"/>
      <c r="D421" s="29"/>
      <c r="E421" s="29"/>
      <c r="H421" s="29"/>
      <c r="I421" s="29"/>
      <c r="J421" s="29"/>
      <c r="K421" s="31"/>
      <c r="L421" s="32"/>
      <c r="M421" s="29"/>
      <c r="N421" s="29"/>
      <c r="O421" s="29"/>
      <c r="P421" s="29"/>
      <c r="Q421" s="29"/>
      <c r="R421" s="29"/>
      <c r="S421" s="37"/>
      <c r="T421" s="29"/>
      <c r="U421" s="29"/>
    </row>
    <row r="422" spans="3:21" ht="16.5" customHeight="1">
      <c r="C422" s="29"/>
      <c r="D422" s="29"/>
      <c r="E422" s="29"/>
      <c r="H422" s="29"/>
      <c r="I422" s="29"/>
      <c r="J422" s="29"/>
      <c r="K422" s="31"/>
      <c r="L422" s="32"/>
      <c r="M422" s="29"/>
      <c r="N422" s="29"/>
      <c r="O422" s="29"/>
      <c r="P422" s="29"/>
      <c r="Q422" s="29"/>
      <c r="R422" s="29"/>
      <c r="S422" s="37"/>
      <c r="T422" s="29"/>
      <c r="U422" s="29"/>
    </row>
    <row r="423" spans="3:21" ht="16.5" customHeight="1">
      <c r="C423" s="29"/>
      <c r="D423" s="29"/>
      <c r="E423" s="29"/>
      <c r="H423" s="29"/>
      <c r="I423" s="29"/>
      <c r="J423" s="29"/>
      <c r="K423" s="31"/>
      <c r="L423" s="32"/>
      <c r="M423" s="29"/>
      <c r="N423" s="29"/>
      <c r="O423" s="29"/>
      <c r="P423" s="29"/>
      <c r="Q423" s="29"/>
      <c r="R423" s="29"/>
      <c r="S423" s="37"/>
      <c r="T423" s="29"/>
      <c r="U423" s="29"/>
    </row>
    <row r="424" spans="3:21" ht="16.5" customHeight="1">
      <c r="C424" s="29"/>
      <c r="D424" s="29"/>
      <c r="E424" s="29"/>
      <c r="H424" s="29"/>
      <c r="I424" s="29"/>
      <c r="J424" s="29"/>
      <c r="K424" s="31"/>
      <c r="L424" s="32"/>
      <c r="M424" s="29"/>
      <c r="N424" s="29"/>
      <c r="O424" s="29"/>
      <c r="P424" s="29"/>
      <c r="Q424" s="29"/>
      <c r="R424" s="29"/>
      <c r="S424" s="37"/>
      <c r="T424" s="29"/>
      <c r="U424" s="29"/>
    </row>
    <row r="425" spans="3:21" ht="16.5" customHeight="1">
      <c r="C425" s="29"/>
      <c r="D425" s="29"/>
      <c r="E425" s="29"/>
      <c r="H425" s="29"/>
      <c r="I425" s="29"/>
      <c r="J425" s="29"/>
      <c r="K425" s="31"/>
      <c r="L425" s="32"/>
      <c r="M425" s="29"/>
      <c r="N425" s="29"/>
      <c r="O425" s="29"/>
      <c r="P425" s="29"/>
      <c r="Q425" s="29"/>
      <c r="R425" s="29"/>
      <c r="S425" s="37"/>
      <c r="T425" s="29"/>
      <c r="U425" s="29"/>
    </row>
    <row r="426" spans="3:21" ht="16.5" customHeight="1">
      <c r="C426" s="29"/>
      <c r="D426" s="29"/>
      <c r="E426" s="29"/>
      <c r="H426" s="29"/>
      <c r="I426" s="29"/>
      <c r="J426" s="29"/>
      <c r="K426" s="31"/>
      <c r="L426" s="32"/>
      <c r="M426" s="29"/>
      <c r="N426" s="29"/>
      <c r="O426" s="29"/>
      <c r="P426" s="29"/>
      <c r="Q426" s="29"/>
      <c r="R426" s="29"/>
      <c r="S426" s="37"/>
      <c r="T426" s="29"/>
      <c r="U426" s="29"/>
    </row>
    <row r="427" spans="3:21" ht="16.5" customHeight="1">
      <c r="C427" s="29"/>
      <c r="D427" s="29"/>
      <c r="E427" s="29"/>
      <c r="H427" s="29"/>
      <c r="I427" s="29"/>
      <c r="J427" s="29"/>
      <c r="K427" s="31"/>
      <c r="L427" s="32"/>
      <c r="M427" s="29"/>
      <c r="N427" s="29"/>
      <c r="O427" s="29"/>
      <c r="P427" s="29"/>
      <c r="Q427" s="29"/>
      <c r="R427" s="29"/>
      <c r="S427" s="37"/>
      <c r="T427" s="29"/>
      <c r="U427" s="29"/>
    </row>
    <row r="428" spans="3:21" ht="16.5" customHeight="1">
      <c r="C428" s="29"/>
      <c r="D428" s="29"/>
      <c r="E428" s="29"/>
      <c r="H428" s="29"/>
      <c r="I428" s="29"/>
      <c r="J428" s="29"/>
      <c r="K428" s="31"/>
      <c r="L428" s="32"/>
      <c r="M428" s="29"/>
      <c r="N428" s="29"/>
      <c r="O428" s="29"/>
      <c r="P428" s="29"/>
      <c r="Q428" s="29"/>
      <c r="R428" s="29"/>
      <c r="S428" s="37"/>
      <c r="T428" s="29"/>
      <c r="U428" s="29"/>
    </row>
    <row r="429" spans="3:21" ht="16.5" customHeight="1">
      <c r="C429" s="29"/>
      <c r="D429" s="29"/>
      <c r="E429" s="29"/>
      <c r="H429" s="29"/>
      <c r="I429" s="29"/>
      <c r="J429" s="29"/>
      <c r="K429" s="31"/>
      <c r="L429" s="32"/>
      <c r="M429" s="29"/>
      <c r="N429" s="29"/>
      <c r="O429" s="29"/>
      <c r="P429" s="29"/>
      <c r="Q429" s="29"/>
      <c r="R429" s="29"/>
      <c r="S429" s="37"/>
      <c r="T429" s="29"/>
      <c r="U429" s="29"/>
    </row>
    <row r="430" spans="3:21" ht="16.5" customHeight="1">
      <c r="C430" s="29"/>
      <c r="D430" s="29"/>
      <c r="E430" s="29"/>
      <c r="H430" s="29"/>
      <c r="I430" s="29"/>
      <c r="J430" s="29"/>
      <c r="K430" s="31"/>
      <c r="L430" s="32"/>
      <c r="M430" s="29"/>
      <c r="N430" s="29"/>
      <c r="O430" s="29"/>
      <c r="P430" s="29"/>
      <c r="Q430" s="29"/>
      <c r="R430" s="29"/>
      <c r="S430" s="37"/>
      <c r="T430" s="29"/>
      <c r="U430" s="29"/>
    </row>
    <row r="431" spans="3:21" ht="16.5" customHeight="1">
      <c r="C431" s="29"/>
      <c r="D431" s="29"/>
      <c r="E431" s="29"/>
      <c r="H431" s="29"/>
      <c r="I431" s="29"/>
      <c r="J431" s="29"/>
      <c r="K431" s="31"/>
      <c r="L431" s="32"/>
      <c r="M431" s="29"/>
      <c r="N431" s="29"/>
      <c r="O431" s="29"/>
      <c r="P431" s="29"/>
      <c r="Q431" s="29"/>
      <c r="R431" s="29"/>
      <c r="S431" s="37"/>
      <c r="T431" s="29"/>
      <c r="U431" s="29"/>
    </row>
    <row r="432" spans="3:21" ht="16.5" customHeight="1">
      <c r="C432" s="29"/>
      <c r="D432" s="29"/>
      <c r="E432" s="29"/>
      <c r="H432" s="29"/>
      <c r="I432" s="29"/>
      <c r="J432" s="29"/>
      <c r="K432" s="31"/>
      <c r="L432" s="32"/>
      <c r="M432" s="29"/>
      <c r="N432" s="29"/>
      <c r="O432" s="29"/>
      <c r="P432" s="29"/>
      <c r="Q432" s="29"/>
      <c r="R432" s="29"/>
      <c r="S432" s="37"/>
      <c r="T432" s="29"/>
      <c r="U432" s="29"/>
    </row>
    <row r="433" spans="3:21" ht="16.5" customHeight="1">
      <c r="C433" s="29"/>
      <c r="D433" s="29"/>
      <c r="E433" s="29"/>
      <c r="H433" s="29"/>
      <c r="I433" s="29"/>
      <c r="J433" s="29"/>
      <c r="K433" s="31"/>
      <c r="L433" s="32"/>
      <c r="M433" s="29"/>
      <c r="N433" s="29"/>
      <c r="O433" s="29"/>
      <c r="P433" s="29"/>
      <c r="Q433" s="29"/>
      <c r="R433" s="29"/>
      <c r="S433" s="37"/>
      <c r="T433" s="29"/>
      <c r="U433" s="29"/>
    </row>
    <row r="434" spans="3:21" ht="16.5" customHeight="1">
      <c r="C434" s="29"/>
      <c r="D434" s="29"/>
      <c r="E434" s="29"/>
      <c r="H434" s="29"/>
      <c r="I434" s="29"/>
      <c r="J434" s="29"/>
      <c r="K434" s="31"/>
      <c r="L434" s="32"/>
      <c r="M434" s="29"/>
      <c r="N434" s="29"/>
      <c r="O434" s="29"/>
      <c r="P434" s="29"/>
      <c r="Q434" s="29"/>
      <c r="R434" s="29"/>
      <c r="S434" s="37"/>
      <c r="T434" s="29"/>
      <c r="U434" s="29"/>
    </row>
    <row r="435" spans="3:21" ht="16.5" customHeight="1">
      <c r="C435" s="29"/>
      <c r="D435" s="29"/>
      <c r="E435" s="29"/>
      <c r="H435" s="29"/>
      <c r="I435" s="29"/>
      <c r="J435" s="29"/>
      <c r="K435" s="31"/>
      <c r="L435" s="32"/>
      <c r="M435" s="29"/>
      <c r="N435" s="29"/>
      <c r="O435" s="29"/>
      <c r="P435" s="29"/>
      <c r="Q435" s="29"/>
      <c r="R435" s="29"/>
      <c r="S435" s="37"/>
      <c r="T435" s="29"/>
      <c r="U435" s="29"/>
    </row>
    <row r="436" spans="3:21" ht="16.5" customHeight="1">
      <c r="C436" s="29"/>
      <c r="D436" s="29"/>
      <c r="E436" s="29"/>
      <c r="H436" s="29"/>
      <c r="I436" s="29"/>
      <c r="J436" s="29"/>
      <c r="K436" s="31"/>
      <c r="L436" s="32"/>
      <c r="M436" s="29"/>
      <c r="N436" s="29"/>
      <c r="O436" s="29"/>
      <c r="P436" s="29"/>
      <c r="Q436" s="29"/>
      <c r="R436" s="29"/>
      <c r="S436" s="37"/>
      <c r="T436" s="29"/>
      <c r="U436" s="29"/>
    </row>
    <row r="437" spans="3:21" ht="16.5" customHeight="1">
      <c r="C437" s="29"/>
      <c r="D437" s="29"/>
      <c r="E437" s="29"/>
      <c r="H437" s="29"/>
      <c r="I437" s="29"/>
      <c r="J437" s="29"/>
      <c r="K437" s="31"/>
      <c r="L437" s="32"/>
      <c r="M437" s="29"/>
      <c r="N437" s="29"/>
      <c r="O437" s="29"/>
      <c r="P437" s="29"/>
      <c r="Q437" s="29"/>
      <c r="R437" s="29"/>
      <c r="S437" s="37"/>
      <c r="T437" s="29"/>
      <c r="U437" s="29"/>
    </row>
    <row r="438" spans="3:21" ht="16.5" customHeight="1">
      <c r="C438" s="29"/>
      <c r="D438" s="29"/>
      <c r="E438" s="29"/>
      <c r="H438" s="29"/>
      <c r="I438" s="29"/>
      <c r="J438" s="29"/>
      <c r="K438" s="31"/>
      <c r="L438" s="32"/>
      <c r="M438" s="29"/>
      <c r="N438" s="29"/>
      <c r="O438" s="29"/>
      <c r="P438" s="29"/>
      <c r="Q438" s="29"/>
      <c r="R438" s="29"/>
      <c r="S438" s="37"/>
      <c r="T438" s="29"/>
      <c r="U438" s="29"/>
    </row>
    <row r="439" spans="3:21" ht="16.5" customHeight="1">
      <c r="C439" s="29"/>
      <c r="D439" s="29"/>
      <c r="E439" s="29"/>
      <c r="H439" s="29"/>
      <c r="I439" s="29"/>
      <c r="J439" s="29"/>
      <c r="K439" s="31"/>
      <c r="L439" s="32"/>
      <c r="M439" s="29"/>
      <c r="N439" s="29"/>
      <c r="O439" s="29"/>
      <c r="P439" s="29"/>
      <c r="Q439" s="29"/>
      <c r="R439" s="29"/>
      <c r="S439" s="37"/>
      <c r="T439" s="29"/>
      <c r="U439" s="29"/>
    </row>
    <row r="440" spans="3:21" ht="16.5" customHeight="1">
      <c r="C440" s="29"/>
      <c r="D440" s="29"/>
      <c r="E440" s="29"/>
      <c r="H440" s="29"/>
      <c r="I440" s="29"/>
      <c r="J440" s="29"/>
      <c r="K440" s="31"/>
      <c r="L440" s="32"/>
      <c r="M440" s="29"/>
      <c r="N440" s="29"/>
      <c r="O440" s="29"/>
      <c r="P440" s="29"/>
      <c r="Q440" s="29"/>
      <c r="R440" s="29"/>
      <c r="S440" s="37"/>
      <c r="T440" s="29"/>
      <c r="U440" s="29"/>
    </row>
    <row r="441" spans="3:21" ht="16.5" customHeight="1">
      <c r="C441" s="29"/>
      <c r="D441" s="29"/>
      <c r="E441" s="29"/>
      <c r="H441" s="29"/>
      <c r="I441" s="29"/>
      <c r="J441" s="29"/>
      <c r="K441" s="31"/>
      <c r="L441" s="32"/>
      <c r="M441" s="29"/>
      <c r="N441" s="29"/>
      <c r="O441" s="29"/>
      <c r="P441" s="29"/>
      <c r="Q441" s="29"/>
      <c r="R441" s="29"/>
      <c r="S441" s="37"/>
      <c r="T441" s="29"/>
      <c r="U441" s="29"/>
    </row>
    <row r="442" spans="3:21" ht="16.5" customHeight="1">
      <c r="C442" s="29"/>
      <c r="D442" s="29"/>
      <c r="E442" s="29"/>
      <c r="H442" s="29"/>
      <c r="I442" s="29"/>
      <c r="J442" s="29"/>
      <c r="K442" s="31"/>
      <c r="L442" s="32"/>
      <c r="M442" s="29"/>
      <c r="N442" s="29"/>
      <c r="O442" s="29"/>
      <c r="P442" s="29"/>
      <c r="Q442" s="29"/>
      <c r="R442" s="29"/>
      <c r="S442" s="37"/>
      <c r="T442" s="29"/>
      <c r="U442" s="29"/>
    </row>
    <row r="443" spans="3:21" ht="16.5" customHeight="1">
      <c r="C443" s="29"/>
      <c r="D443" s="29"/>
      <c r="E443" s="29"/>
      <c r="H443" s="29"/>
      <c r="I443" s="29"/>
      <c r="J443" s="29"/>
      <c r="K443" s="31"/>
      <c r="L443" s="32"/>
      <c r="M443" s="29"/>
      <c r="N443" s="29"/>
      <c r="O443" s="29"/>
      <c r="P443" s="29"/>
      <c r="Q443" s="29"/>
      <c r="R443" s="29"/>
      <c r="S443" s="37"/>
      <c r="T443" s="29"/>
      <c r="U443" s="29"/>
    </row>
    <row r="444" spans="3:21" ht="16.5" customHeight="1">
      <c r="C444" s="29"/>
      <c r="D444" s="29"/>
      <c r="E444" s="29"/>
      <c r="H444" s="29"/>
      <c r="I444" s="29"/>
      <c r="J444" s="29"/>
      <c r="K444" s="31"/>
      <c r="L444" s="32"/>
      <c r="M444" s="29"/>
      <c r="N444" s="29"/>
      <c r="O444" s="29"/>
      <c r="P444" s="29"/>
      <c r="Q444" s="29"/>
      <c r="R444" s="29"/>
      <c r="S444" s="37"/>
      <c r="T444" s="29"/>
      <c r="U444" s="29"/>
    </row>
    <row r="445" spans="3:21" ht="16.5" customHeight="1">
      <c r="C445" s="29"/>
      <c r="D445" s="29"/>
      <c r="E445" s="29"/>
      <c r="H445" s="29"/>
      <c r="I445" s="29"/>
      <c r="J445" s="29"/>
      <c r="K445" s="31"/>
      <c r="L445" s="32"/>
      <c r="M445" s="29"/>
      <c r="N445" s="29"/>
      <c r="O445" s="29"/>
      <c r="P445" s="29"/>
      <c r="Q445" s="29"/>
      <c r="R445" s="29"/>
      <c r="S445" s="37"/>
      <c r="T445" s="29"/>
      <c r="U445" s="29"/>
    </row>
    <row r="446" spans="3:21" ht="16.5" customHeight="1">
      <c r="C446" s="29"/>
      <c r="D446" s="29"/>
      <c r="E446" s="29"/>
      <c r="H446" s="29"/>
      <c r="I446" s="29"/>
      <c r="J446" s="29"/>
      <c r="K446" s="31"/>
      <c r="L446" s="32"/>
      <c r="M446" s="29"/>
      <c r="N446" s="29"/>
      <c r="O446" s="29"/>
      <c r="P446" s="29"/>
      <c r="Q446" s="29"/>
      <c r="R446" s="29"/>
      <c r="S446" s="37"/>
      <c r="T446" s="29"/>
      <c r="U446" s="29"/>
    </row>
    <row r="447" spans="3:21" ht="16.5" customHeight="1">
      <c r="C447" s="29"/>
      <c r="D447" s="29"/>
      <c r="E447" s="29"/>
      <c r="H447" s="29"/>
      <c r="I447" s="29"/>
      <c r="J447" s="29"/>
      <c r="K447" s="31"/>
      <c r="L447" s="32"/>
      <c r="M447" s="29"/>
      <c r="N447" s="29"/>
      <c r="O447" s="29"/>
      <c r="P447" s="29"/>
      <c r="Q447" s="29"/>
      <c r="R447" s="29"/>
      <c r="S447" s="37"/>
      <c r="T447" s="29"/>
      <c r="U447" s="29"/>
    </row>
    <row r="448" spans="3:21" ht="16.5" customHeight="1">
      <c r="C448" s="29"/>
      <c r="D448" s="29"/>
      <c r="E448" s="29"/>
      <c r="H448" s="29"/>
      <c r="I448" s="29"/>
      <c r="J448" s="29"/>
      <c r="K448" s="31"/>
      <c r="L448" s="32"/>
      <c r="M448" s="29"/>
      <c r="N448" s="29"/>
      <c r="O448" s="29"/>
      <c r="P448" s="29"/>
      <c r="Q448" s="29"/>
      <c r="R448" s="29"/>
      <c r="S448" s="37"/>
      <c r="T448" s="29"/>
      <c r="U448" s="29"/>
    </row>
    <row r="449" spans="3:21" ht="16.5" customHeight="1">
      <c r="C449" s="29"/>
      <c r="D449" s="29"/>
      <c r="E449" s="29"/>
      <c r="H449" s="29"/>
      <c r="I449" s="29"/>
      <c r="J449" s="29"/>
      <c r="K449" s="31"/>
      <c r="L449" s="32"/>
      <c r="M449" s="29"/>
      <c r="N449" s="29"/>
      <c r="O449" s="29"/>
      <c r="P449" s="29"/>
      <c r="Q449" s="29"/>
      <c r="R449" s="29"/>
      <c r="S449" s="37"/>
      <c r="T449" s="29"/>
      <c r="U449" s="29"/>
    </row>
    <row r="450" spans="3:21" ht="16.5" customHeight="1">
      <c r="C450" s="29"/>
      <c r="D450" s="29"/>
      <c r="E450" s="29"/>
      <c r="H450" s="29"/>
      <c r="I450" s="29"/>
      <c r="J450" s="29"/>
      <c r="K450" s="31"/>
      <c r="L450" s="32"/>
      <c r="M450" s="29"/>
      <c r="N450" s="29"/>
      <c r="O450" s="29"/>
      <c r="P450" s="29"/>
      <c r="Q450" s="29"/>
      <c r="R450" s="29"/>
      <c r="S450" s="37"/>
      <c r="T450" s="29"/>
      <c r="U450" s="29"/>
    </row>
    <row r="451" spans="3:21" ht="16.5" customHeight="1">
      <c r="C451" s="29"/>
      <c r="D451" s="29"/>
      <c r="E451" s="29"/>
      <c r="H451" s="29"/>
      <c r="I451" s="29"/>
      <c r="J451" s="29"/>
      <c r="K451" s="31"/>
      <c r="L451" s="32"/>
      <c r="M451" s="29"/>
      <c r="N451" s="29"/>
      <c r="O451" s="29"/>
      <c r="P451" s="29"/>
      <c r="Q451" s="29"/>
      <c r="R451" s="29"/>
      <c r="S451" s="37"/>
      <c r="T451" s="29"/>
      <c r="U451" s="29"/>
    </row>
    <row r="452" spans="3:21" ht="16.5" customHeight="1">
      <c r="C452" s="29"/>
      <c r="D452" s="29"/>
      <c r="E452" s="29"/>
      <c r="H452" s="29"/>
      <c r="I452" s="29"/>
      <c r="J452" s="29"/>
      <c r="K452" s="31"/>
      <c r="L452" s="32"/>
      <c r="M452" s="29"/>
      <c r="N452" s="29"/>
      <c r="O452" s="29"/>
      <c r="P452" s="29"/>
      <c r="Q452" s="29"/>
      <c r="R452" s="29"/>
      <c r="S452" s="37"/>
      <c r="T452" s="29"/>
      <c r="U452" s="29"/>
    </row>
    <row r="453" spans="3:21" ht="16.5" customHeight="1">
      <c r="C453" s="29"/>
      <c r="D453" s="29"/>
      <c r="E453" s="29"/>
      <c r="H453" s="29"/>
      <c r="I453" s="29"/>
      <c r="J453" s="29"/>
      <c r="K453" s="31"/>
      <c r="L453" s="32"/>
      <c r="M453" s="29"/>
      <c r="N453" s="29"/>
      <c r="O453" s="29"/>
      <c r="P453" s="29"/>
      <c r="Q453" s="29"/>
      <c r="R453" s="29"/>
      <c r="S453" s="37"/>
      <c r="T453" s="29"/>
      <c r="U453" s="29"/>
    </row>
    <row r="454" spans="3:21" ht="16.5" customHeight="1">
      <c r="C454" s="29"/>
      <c r="D454" s="29"/>
      <c r="E454" s="29"/>
      <c r="H454" s="29"/>
      <c r="I454" s="29"/>
      <c r="J454" s="29"/>
      <c r="K454" s="31"/>
      <c r="L454" s="32"/>
      <c r="M454" s="29"/>
      <c r="N454" s="29"/>
      <c r="O454" s="29"/>
      <c r="P454" s="29"/>
      <c r="Q454" s="29"/>
      <c r="R454" s="29"/>
      <c r="S454" s="37"/>
      <c r="T454" s="29"/>
      <c r="U454" s="29"/>
    </row>
    <row r="455" spans="3:21" ht="16.5" customHeight="1">
      <c r="C455" s="29"/>
      <c r="D455" s="29"/>
      <c r="E455" s="29"/>
      <c r="H455" s="29"/>
      <c r="I455" s="29"/>
      <c r="J455" s="29"/>
      <c r="K455" s="31"/>
      <c r="L455" s="32"/>
      <c r="M455" s="29"/>
      <c r="N455" s="29"/>
      <c r="O455" s="29"/>
      <c r="P455" s="29"/>
      <c r="Q455" s="29"/>
      <c r="R455" s="29"/>
      <c r="S455" s="37"/>
      <c r="T455" s="29"/>
      <c r="U455" s="29"/>
    </row>
    <row r="456" spans="3:21" ht="16.5" customHeight="1">
      <c r="C456" s="29"/>
      <c r="D456" s="29"/>
      <c r="E456" s="29"/>
      <c r="H456" s="29"/>
      <c r="I456" s="29"/>
      <c r="J456" s="29"/>
      <c r="K456" s="31"/>
      <c r="L456" s="32"/>
      <c r="M456" s="29"/>
      <c r="N456" s="29"/>
      <c r="O456" s="29"/>
      <c r="P456" s="29"/>
      <c r="Q456" s="29"/>
      <c r="R456" s="29"/>
      <c r="S456" s="37"/>
      <c r="T456" s="29"/>
      <c r="U456" s="29"/>
    </row>
    <row r="457" spans="3:21" ht="16.5" customHeight="1">
      <c r="C457" s="29"/>
      <c r="D457" s="29"/>
      <c r="E457" s="29"/>
      <c r="H457" s="29"/>
      <c r="I457" s="29"/>
      <c r="J457" s="29"/>
      <c r="K457" s="31"/>
      <c r="L457" s="32"/>
      <c r="M457" s="29"/>
      <c r="N457" s="29"/>
      <c r="O457" s="29"/>
      <c r="P457" s="29"/>
      <c r="Q457" s="29"/>
      <c r="R457" s="29"/>
      <c r="S457" s="37"/>
      <c r="T457" s="29"/>
      <c r="U457" s="29"/>
    </row>
    <row r="458" spans="3:21" ht="16.5" customHeight="1">
      <c r="C458" s="29"/>
      <c r="D458" s="29"/>
      <c r="E458" s="29"/>
      <c r="H458" s="29"/>
      <c r="I458" s="29"/>
      <c r="J458" s="29"/>
      <c r="K458" s="31"/>
      <c r="L458" s="32"/>
      <c r="M458" s="29"/>
      <c r="N458" s="29"/>
      <c r="O458" s="29"/>
      <c r="P458" s="29"/>
      <c r="Q458" s="29"/>
      <c r="R458" s="29"/>
      <c r="S458" s="37"/>
      <c r="T458" s="29"/>
      <c r="U458" s="29"/>
    </row>
    <row r="459" spans="3:21" ht="16.5" customHeight="1">
      <c r="C459" s="29"/>
      <c r="D459" s="29"/>
      <c r="E459" s="29"/>
      <c r="H459" s="29"/>
      <c r="I459" s="29"/>
      <c r="J459" s="29"/>
      <c r="K459" s="31"/>
      <c r="L459" s="32"/>
      <c r="M459" s="29"/>
      <c r="N459" s="29"/>
      <c r="O459" s="29"/>
      <c r="P459" s="29"/>
      <c r="Q459" s="29"/>
      <c r="R459" s="29"/>
      <c r="S459" s="37"/>
      <c r="T459" s="29"/>
      <c r="U459" s="29"/>
    </row>
    <row r="460" spans="3:21" ht="16.5" customHeight="1">
      <c r="C460" s="29"/>
      <c r="D460" s="29"/>
      <c r="E460" s="29"/>
      <c r="H460" s="29"/>
      <c r="I460" s="29"/>
      <c r="J460" s="29"/>
      <c r="K460" s="31"/>
      <c r="L460" s="32"/>
      <c r="M460" s="29"/>
      <c r="N460" s="29"/>
      <c r="O460" s="29"/>
      <c r="P460" s="29"/>
      <c r="Q460" s="29"/>
      <c r="R460" s="29"/>
      <c r="S460" s="37"/>
      <c r="T460" s="29"/>
      <c r="U460" s="29"/>
    </row>
    <row r="461" spans="3:21" ht="16.5" customHeight="1">
      <c r="C461" s="29"/>
      <c r="D461" s="29"/>
      <c r="E461" s="29"/>
      <c r="H461" s="29"/>
      <c r="I461" s="29"/>
      <c r="J461" s="29"/>
      <c r="K461" s="31"/>
      <c r="L461" s="32"/>
      <c r="M461" s="29"/>
      <c r="N461" s="29"/>
      <c r="O461" s="29"/>
      <c r="P461" s="29"/>
      <c r="Q461" s="29"/>
      <c r="R461" s="29"/>
      <c r="S461" s="37"/>
      <c r="T461" s="29"/>
      <c r="U461" s="29"/>
    </row>
    <row r="462" spans="3:21" ht="16.5" customHeight="1">
      <c r="C462" s="29"/>
      <c r="D462" s="29"/>
      <c r="E462" s="29"/>
      <c r="H462" s="29"/>
      <c r="I462" s="29"/>
      <c r="J462" s="29"/>
      <c r="K462" s="31"/>
      <c r="L462" s="32"/>
      <c r="M462" s="29"/>
      <c r="N462" s="29"/>
      <c r="O462" s="29"/>
      <c r="P462" s="29"/>
      <c r="Q462" s="29"/>
      <c r="R462" s="29"/>
      <c r="S462" s="37"/>
      <c r="T462" s="29"/>
      <c r="U462" s="29"/>
    </row>
    <row r="463" spans="3:21" ht="16.5" customHeight="1">
      <c r="C463" s="29"/>
      <c r="D463" s="29"/>
      <c r="E463" s="29"/>
      <c r="H463" s="29"/>
      <c r="I463" s="29"/>
      <c r="J463" s="29"/>
      <c r="K463" s="31"/>
      <c r="L463" s="32"/>
      <c r="M463" s="29"/>
      <c r="N463" s="29"/>
      <c r="O463" s="29"/>
      <c r="P463" s="29"/>
      <c r="Q463" s="29"/>
      <c r="R463" s="29"/>
      <c r="S463" s="37"/>
      <c r="T463" s="29"/>
      <c r="U463" s="29"/>
    </row>
    <row r="464" spans="3:21" ht="16.5" customHeight="1">
      <c r="C464" s="29"/>
      <c r="D464" s="29"/>
      <c r="E464" s="29"/>
      <c r="H464" s="29"/>
      <c r="I464" s="29"/>
      <c r="J464" s="29"/>
      <c r="K464" s="31"/>
      <c r="L464" s="32"/>
      <c r="M464" s="29"/>
      <c r="N464" s="29"/>
      <c r="O464" s="29"/>
      <c r="P464" s="29"/>
      <c r="Q464" s="29"/>
      <c r="R464" s="29"/>
      <c r="S464" s="37"/>
      <c r="T464" s="29"/>
      <c r="U464" s="29"/>
    </row>
    <row r="465" spans="3:21" ht="16.5" customHeight="1">
      <c r="C465" s="29"/>
      <c r="D465" s="29"/>
      <c r="E465" s="29"/>
      <c r="H465" s="29"/>
      <c r="I465" s="29"/>
      <c r="J465" s="29"/>
      <c r="K465" s="31"/>
      <c r="L465" s="32"/>
      <c r="M465" s="29"/>
      <c r="N465" s="29"/>
      <c r="O465" s="29"/>
      <c r="P465" s="29"/>
      <c r="Q465" s="29"/>
      <c r="R465" s="29"/>
      <c r="S465" s="37"/>
      <c r="T465" s="29"/>
      <c r="U465" s="29"/>
    </row>
    <row r="466" spans="3:21" ht="16.5" customHeight="1">
      <c r="C466" s="29"/>
      <c r="D466" s="29"/>
      <c r="E466" s="29"/>
      <c r="H466" s="29"/>
      <c r="I466" s="29"/>
      <c r="J466" s="29"/>
      <c r="K466" s="31"/>
      <c r="L466" s="32"/>
      <c r="M466" s="29"/>
      <c r="N466" s="29"/>
      <c r="O466" s="29"/>
      <c r="P466" s="29"/>
      <c r="Q466" s="29"/>
      <c r="R466" s="29"/>
      <c r="S466" s="37"/>
      <c r="T466" s="29"/>
      <c r="U466" s="29"/>
    </row>
    <row r="467" spans="3:21" ht="16.5" customHeight="1">
      <c r="C467" s="29"/>
      <c r="D467" s="29"/>
      <c r="E467" s="29"/>
      <c r="H467" s="29"/>
      <c r="I467" s="29"/>
      <c r="J467" s="29"/>
      <c r="K467" s="31"/>
      <c r="L467" s="32"/>
      <c r="M467" s="29"/>
      <c r="N467" s="29"/>
      <c r="O467" s="29"/>
      <c r="P467" s="29"/>
      <c r="Q467" s="29"/>
      <c r="R467" s="29"/>
      <c r="S467" s="37"/>
      <c r="T467" s="29"/>
      <c r="U467" s="29"/>
    </row>
    <row r="468" spans="3:21" ht="16.5" customHeight="1">
      <c r="C468" s="29"/>
      <c r="D468" s="29"/>
      <c r="E468" s="29"/>
      <c r="H468" s="29"/>
      <c r="I468" s="29"/>
      <c r="J468" s="29"/>
      <c r="K468" s="31"/>
      <c r="L468" s="32"/>
      <c r="M468" s="29"/>
      <c r="N468" s="29"/>
      <c r="O468" s="29"/>
      <c r="P468" s="29"/>
      <c r="Q468" s="29"/>
      <c r="R468" s="29"/>
      <c r="S468" s="37"/>
      <c r="T468" s="29"/>
      <c r="U468" s="29"/>
    </row>
    <row r="469" spans="3:21" ht="16.5" customHeight="1">
      <c r="C469" s="29"/>
      <c r="D469" s="29"/>
      <c r="E469" s="29"/>
      <c r="H469" s="29"/>
      <c r="I469" s="29"/>
      <c r="J469" s="29"/>
      <c r="K469" s="31"/>
      <c r="L469" s="32"/>
      <c r="M469" s="29"/>
      <c r="N469" s="29"/>
      <c r="O469" s="29"/>
      <c r="P469" s="29"/>
      <c r="Q469" s="29"/>
      <c r="R469" s="29"/>
      <c r="S469" s="37"/>
      <c r="T469" s="29"/>
      <c r="U469" s="29"/>
    </row>
    <row r="470" spans="3:21" ht="16.5" customHeight="1">
      <c r="C470" s="29"/>
      <c r="D470" s="29"/>
      <c r="E470" s="29"/>
      <c r="H470" s="29"/>
      <c r="I470" s="29"/>
      <c r="J470" s="29"/>
      <c r="K470" s="31"/>
      <c r="L470" s="32"/>
      <c r="M470" s="29"/>
      <c r="N470" s="29"/>
      <c r="O470" s="29"/>
      <c r="P470" s="29"/>
      <c r="Q470" s="29"/>
      <c r="R470" s="29"/>
      <c r="S470" s="37"/>
      <c r="T470" s="29"/>
      <c r="U470" s="29"/>
    </row>
    <row r="471" spans="3:21" ht="16.5" customHeight="1">
      <c r="C471" s="29"/>
      <c r="D471" s="29"/>
      <c r="E471" s="29"/>
      <c r="H471" s="29"/>
      <c r="I471" s="29"/>
      <c r="J471" s="29"/>
      <c r="K471" s="31"/>
      <c r="L471" s="32"/>
      <c r="M471" s="29"/>
      <c r="N471" s="29"/>
      <c r="O471" s="29"/>
      <c r="P471" s="29"/>
      <c r="Q471" s="29"/>
      <c r="R471" s="29"/>
      <c r="S471" s="37"/>
      <c r="T471" s="29"/>
      <c r="U471" s="29"/>
    </row>
    <row r="472" spans="3:21" ht="16.5" customHeight="1">
      <c r="C472" s="29"/>
      <c r="D472" s="29"/>
      <c r="E472" s="29"/>
      <c r="H472" s="29"/>
      <c r="I472" s="29"/>
      <c r="J472" s="29"/>
      <c r="K472" s="31"/>
      <c r="L472" s="32"/>
      <c r="M472" s="29"/>
      <c r="N472" s="29"/>
      <c r="O472" s="29"/>
      <c r="P472" s="29"/>
      <c r="Q472" s="29"/>
      <c r="R472" s="29"/>
      <c r="S472" s="37"/>
      <c r="T472" s="29"/>
      <c r="U472" s="29"/>
    </row>
    <row r="473" spans="3:21" ht="16.5" customHeight="1">
      <c r="C473" s="29"/>
      <c r="D473" s="29"/>
      <c r="E473" s="29"/>
      <c r="H473" s="29"/>
      <c r="I473" s="29"/>
      <c r="J473" s="29"/>
      <c r="K473" s="31"/>
      <c r="L473" s="32"/>
      <c r="M473" s="29"/>
      <c r="N473" s="29"/>
      <c r="O473" s="29"/>
      <c r="P473" s="29"/>
      <c r="Q473" s="29"/>
      <c r="R473" s="29"/>
      <c r="S473" s="37"/>
      <c r="T473" s="29"/>
      <c r="U473" s="29"/>
    </row>
    <row r="474" spans="3:21" ht="16.5" customHeight="1">
      <c r="C474" s="29"/>
      <c r="D474" s="29"/>
      <c r="E474" s="29"/>
      <c r="H474" s="29"/>
      <c r="I474" s="29"/>
      <c r="J474" s="29"/>
      <c r="K474" s="31"/>
      <c r="L474" s="32"/>
      <c r="M474" s="29"/>
      <c r="N474" s="29"/>
      <c r="O474" s="29"/>
      <c r="P474" s="29"/>
      <c r="Q474" s="29"/>
      <c r="R474" s="29"/>
      <c r="S474" s="37"/>
      <c r="T474" s="29"/>
      <c r="U474" s="29"/>
    </row>
    <row r="475" spans="3:21" ht="16.5" customHeight="1">
      <c r="C475" s="29"/>
      <c r="D475" s="29"/>
      <c r="E475" s="29"/>
      <c r="H475" s="29"/>
      <c r="I475" s="29"/>
      <c r="J475" s="29"/>
      <c r="K475" s="31"/>
      <c r="L475" s="32"/>
      <c r="M475" s="29"/>
      <c r="N475" s="29"/>
      <c r="O475" s="29"/>
      <c r="P475" s="29"/>
      <c r="Q475" s="29"/>
      <c r="R475" s="29"/>
      <c r="S475" s="37"/>
      <c r="T475" s="29"/>
      <c r="U475" s="29"/>
    </row>
    <row r="476" spans="3:21" ht="16.5" customHeight="1">
      <c r="C476" s="29"/>
      <c r="D476" s="29"/>
      <c r="E476" s="29"/>
      <c r="H476" s="29"/>
      <c r="I476" s="29"/>
      <c r="J476" s="29"/>
      <c r="K476" s="31"/>
      <c r="L476" s="32"/>
      <c r="M476" s="29"/>
      <c r="N476" s="29"/>
      <c r="O476" s="29"/>
      <c r="P476" s="29"/>
      <c r="Q476" s="29"/>
      <c r="R476" s="29"/>
      <c r="S476" s="37"/>
      <c r="T476" s="29"/>
      <c r="U476" s="29"/>
    </row>
    <row r="477" spans="3:21" ht="16.5" customHeight="1">
      <c r="C477" s="29"/>
      <c r="D477" s="29"/>
      <c r="E477" s="29"/>
      <c r="H477" s="29"/>
      <c r="I477" s="29"/>
      <c r="J477" s="29"/>
      <c r="K477" s="31"/>
      <c r="L477" s="32"/>
      <c r="M477" s="29"/>
      <c r="N477" s="29"/>
      <c r="O477" s="29"/>
      <c r="P477" s="29"/>
      <c r="Q477" s="29"/>
      <c r="R477" s="29"/>
      <c r="S477" s="37"/>
      <c r="T477" s="29"/>
      <c r="U477" s="29"/>
    </row>
    <row r="478" spans="3:21" ht="16.5" customHeight="1">
      <c r="C478" s="29"/>
      <c r="D478" s="29"/>
      <c r="E478" s="29"/>
      <c r="H478" s="29"/>
      <c r="I478" s="29"/>
      <c r="J478" s="29"/>
      <c r="K478" s="31"/>
      <c r="L478" s="32"/>
      <c r="M478" s="29"/>
      <c r="N478" s="29"/>
      <c r="O478" s="29"/>
      <c r="P478" s="29"/>
      <c r="Q478" s="29"/>
      <c r="R478" s="29"/>
      <c r="S478" s="37"/>
      <c r="T478" s="29"/>
      <c r="U478" s="29"/>
    </row>
    <row r="479" spans="3:21" ht="16.5" customHeight="1">
      <c r="C479" s="29"/>
      <c r="D479" s="29"/>
      <c r="E479" s="29"/>
      <c r="H479" s="29"/>
      <c r="I479" s="29"/>
      <c r="J479" s="29"/>
      <c r="K479" s="31"/>
      <c r="L479" s="32"/>
      <c r="M479" s="29"/>
      <c r="N479" s="29"/>
      <c r="O479" s="29"/>
      <c r="P479" s="29"/>
      <c r="Q479" s="29"/>
      <c r="R479" s="29"/>
      <c r="S479" s="37"/>
      <c r="T479" s="29"/>
      <c r="U479" s="29"/>
    </row>
    <row r="480" spans="3:21" ht="16.5" customHeight="1">
      <c r="C480" s="29"/>
      <c r="D480" s="29"/>
      <c r="E480" s="29"/>
      <c r="H480" s="29"/>
      <c r="I480" s="29"/>
      <c r="J480" s="29"/>
      <c r="K480" s="31"/>
      <c r="L480" s="32"/>
      <c r="M480" s="29"/>
      <c r="N480" s="29"/>
      <c r="O480" s="29"/>
      <c r="P480" s="29"/>
      <c r="Q480" s="29"/>
      <c r="R480" s="29"/>
      <c r="S480" s="37"/>
      <c r="T480" s="29"/>
      <c r="U480" s="29"/>
    </row>
    <row r="481" spans="3:21" ht="16.5" customHeight="1">
      <c r="C481" s="29"/>
      <c r="D481" s="29"/>
      <c r="E481" s="29"/>
      <c r="H481" s="29"/>
      <c r="I481" s="29"/>
      <c r="J481" s="29"/>
      <c r="K481" s="31"/>
      <c r="L481" s="32"/>
      <c r="M481" s="29"/>
      <c r="N481" s="29"/>
      <c r="O481" s="29"/>
      <c r="P481" s="29"/>
      <c r="Q481" s="29"/>
      <c r="R481" s="29"/>
      <c r="S481" s="37"/>
      <c r="T481" s="29"/>
      <c r="U481" s="29"/>
    </row>
    <row r="482" spans="3:21" ht="16.5" customHeight="1">
      <c r="C482" s="29"/>
      <c r="D482" s="29"/>
      <c r="E482" s="29"/>
      <c r="H482" s="29"/>
      <c r="I482" s="29"/>
      <c r="J482" s="29"/>
      <c r="K482" s="31"/>
      <c r="L482" s="32"/>
      <c r="M482" s="29"/>
      <c r="N482" s="29"/>
      <c r="O482" s="29"/>
      <c r="P482" s="29"/>
      <c r="Q482" s="29"/>
      <c r="R482" s="29"/>
      <c r="S482" s="37"/>
      <c r="T482" s="29"/>
      <c r="U482" s="29"/>
    </row>
    <row r="483" spans="3:21" ht="16.5" customHeight="1">
      <c r="C483" s="29"/>
      <c r="D483" s="29"/>
      <c r="E483" s="29"/>
      <c r="H483" s="29"/>
      <c r="I483" s="29"/>
      <c r="J483" s="29"/>
      <c r="K483" s="31"/>
      <c r="L483" s="32"/>
      <c r="M483" s="29"/>
      <c r="N483" s="29"/>
      <c r="O483" s="29"/>
      <c r="P483" s="29"/>
      <c r="Q483" s="29"/>
      <c r="R483" s="29"/>
      <c r="S483" s="37"/>
      <c r="T483" s="29"/>
      <c r="U483" s="29"/>
    </row>
    <row r="484" spans="3:21" ht="16.5" customHeight="1">
      <c r="C484" s="29"/>
      <c r="D484" s="29"/>
      <c r="E484" s="29"/>
      <c r="H484" s="29"/>
      <c r="I484" s="29"/>
      <c r="J484" s="29"/>
      <c r="K484" s="31"/>
      <c r="L484" s="32"/>
      <c r="M484" s="29"/>
      <c r="N484" s="29"/>
      <c r="O484" s="29"/>
      <c r="P484" s="29"/>
      <c r="Q484" s="29"/>
      <c r="R484" s="29"/>
      <c r="S484" s="37"/>
      <c r="T484" s="29"/>
      <c r="U484" s="29"/>
    </row>
    <row r="485" spans="3:21" ht="16.5" customHeight="1">
      <c r="C485" s="29"/>
      <c r="D485" s="29"/>
      <c r="E485" s="29"/>
      <c r="H485" s="29"/>
      <c r="I485" s="29"/>
      <c r="J485" s="29"/>
      <c r="K485" s="31"/>
      <c r="L485" s="32"/>
      <c r="M485" s="29"/>
      <c r="N485" s="29"/>
      <c r="O485" s="29"/>
      <c r="P485" s="29"/>
      <c r="Q485" s="29"/>
      <c r="R485" s="29"/>
      <c r="S485" s="37"/>
      <c r="T485" s="29"/>
      <c r="U485" s="29"/>
    </row>
    <row r="486" spans="3:21" ht="16.5" customHeight="1">
      <c r="C486" s="29"/>
      <c r="D486" s="29"/>
      <c r="E486" s="29"/>
      <c r="H486" s="29"/>
      <c r="I486" s="29"/>
      <c r="J486" s="29"/>
      <c r="K486" s="31"/>
      <c r="L486" s="32"/>
      <c r="M486" s="29"/>
      <c r="N486" s="29"/>
      <c r="O486" s="29"/>
      <c r="P486" s="29"/>
      <c r="Q486" s="29"/>
      <c r="R486" s="29"/>
      <c r="S486" s="37"/>
      <c r="T486" s="29"/>
      <c r="U486" s="29"/>
    </row>
    <row r="487" spans="3:21" ht="16.5" customHeight="1">
      <c r="C487" s="29"/>
      <c r="D487" s="29"/>
      <c r="E487" s="29"/>
      <c r="H487" s="29"/>
      <c r="I487" s="29"/>
      <c r="J487" s="29"/>
      <c r="K487" s="31"/>
      <c r="L487" s="32"/>
      <c r="M487" s="29"/>
      <c r="N487" s="29"/>
      <c r="O487" s="29"/>
      <c r="P487" s="29"/>
      <c r="Q487" s="29"/>
      <c r="R487" s="29"/>
      <c r="S487" s="37"/>
      <c r="T487" s="29"/>
      <c r="U487" s="29"/>
    </row>
    <row r="488" spans="3:21" ht="16.5" customHeight="1">
      <c r="C488" s="29"/>
      <c r="D488" s="29"/>
      <c r="E488" s="29"/>
      <c r="H488" s="29"/>
      <c r="I488" s="29"/>
      <c r="J488" s="29"/>
      <c r="K488" s="31"/>
      <c r="L488" s="32"/>
      <c r="M488" s="29"/>
      <c r="N488" s="29"/>
      <c r="O488" s="29"/>
      <c r="P488" s="29"/>
      <c r="Q488" s="29"/>
      <c r="R488" s="29"/>
      <c r="S488" s="37"/>
      <c r="T488" s="29"/>
      <c r="U488" s="29"/>
    </row>
    <row r="489" spans="3:21" ht="16.5" customHeight="1">
      <c r="C489" s="29"/>
      <c r="D489" s="29"/>
      <c r="E489" s="29"/>
      <c r="H489" s="29"/>
      <c r="I489" s="29"/>
      <c r="J489" s="29"/>
      <c r="K489" s="31"/>
      <c r="L489" s="32"/>
      <c r="M489" s="29"/>
      <c r="N489" s="29"/>
      <c r="O489" s="29"/>
      <c r="P489" s="29"/>
      <c r="Q489" s="29"/>
      <c r="R489" s="29"/>
      <c r="S489" s="37"/>
      <c r="T489" s="29"/>
      <c r="U489" s="29"/>
    </row>
    <row r="490" spans="3:21" ht="16.5" customHeight="1">
      <c r="C490" s="29"/>
      <c r="D490" s="29"/>
      <c r="E490" s="29"/>
      <c r="H490" s="29"/>
      <c r="I490" s="29"/>
      <c r="J490" s="29"/>
      <c r="K490" s="31"/>
      <c r="L490" s="32"/>
      <c r="M490" s="29"/>
      <c r="N490" s="29"/>
      <c r="O490" s="29"/>
      <c r="P490" s="29"/>
      <c r="Q490" s="29"/>
      <c r="R490" s="29"/>
      <c r="S490" s="37"/>
      <c r="T490" s="29"/>
      <c r="U490" s="29"/>
    </row>
    <row r="491" spans="3:21" ht="16.5" customHeight="1">
      <c r="C491" s="29"/>
      <c r="D491" s="29"/>
      <c r="E491" s="29"/>
      <c r="H491" s="29"/>
      <c r="I491" s="29"/>
      <c r="J491" s="29"/>
      <c r="K491" s="31"/>
      <c r="L491" s="32"/>
      <c r="M491" s="29"/>
      <c r="N491" s="29"/>
      <c r="O491" s="29"/>
      <c r="P491" s="29"/>
      <c r="Q491" s="29"/>
      <c r="R491" s="29"/>
      <c r="S491" s="37"/>
      <c r="T491" s="29"/>
      <c r="U491" s="29"/>
    </row>
    <row r="492" spans="3:21" ht="16.5" customHeight="1">
      <c r="C492" s="29"/>
      <c r="D492" s="29"/>
      <c r="E492" s="29"/>
      <c r="H492" s="29"/>
      <c r="I492" s="29"/>
      <c r="J492" s="29"/>
      <c r="K492" s="31"/>
      <c r="L492" s="32"/>
      <c r="M492" s="29"/>
      <c r="N492" s="29"/>
      <c r="O492" s="29"/>
      <c r="P492" s="29"/>
      <c r="Q492" s="29"/>
      <c r="R492" s="29"/>
      <c r="S492" s="37"/>
      <c r="T492" s="29"/>
      <c r="U492" s="29"/>
    </row>
    <row r="493" spans="3:21" ht="16.5" customHeight="1">
      <c r="C493" s="29"/>
      <c r="D493" s="29"/>
      <c r="E493" s="29"/>
      <c r="H493" s="29"/>
      <c r="I493" s="29"/>
      <c r="J493" s="29"/>
      <c r="K493" s="31"/>
      <c r="L493" s="32"/>
      <c r="M493" s="29"/>
      <c r="N493" s="29"/>
      <c r="O493" s="29"/>
      <c r="P493" s="29"/>
      <c r="Q493" s="29"/>
      <c r="R493" s="29"/>
      <c r="S493" s="37"/>
      <c r="T493" s="29"/>
      <c r="U493" s="29"/>
    </row>
    <row r="494" spans="3:21" ht="16.5" customHeight="1">
      <c r="C494" s="29"/>
      <c r="D494" s="29"/>
      <c r="E494" s="29"/>
      <c r="H494" s="29"/>
      <c r="I494" s="29"/>
      <c r="J494" s="29"/>
      <c r="K494" s="31"/>
      <c r="L494" s="32"/>
      <c r="M494" s="29"/>
      <c r="N494" s="29"/>
      <c r="O494" s="29"/>
      <c r="P494" s="29"/>
      <c r="Q494" s="29"/>
      <c r="R494" s="29"/>
      <c r="S494" s="37"/>
      <c r="T494" s="29"/>
      <c r="U494" s="29"/>
    </row>
    <row r="495" spans="3:21" ht="16.5" customHeight="1">
      <c r="C495" s="29"/>
      <c r="D495" s="29"/>
      <c r="E495" s="29"/>
      <c r="H495" s="29"/>
      <c r="I495" s="29"/>
      <c r="J495" s="29"/>
      <c r="K495" s="31"/>
      <c r="L495" s="32"/>
      <c r="M495" s="29"/>
      <c r="N495" s="29"/>
      <c r="O495" s="29"/>
      <c r="P495" s="29"/>
      <c r="Q495" s="29"/>
      <c r="R495" s="29"/>
      <c r="S495" s="37"/>
      <c r="T495" s="29"/>
      <c r="U495" s="29"/>
    </row>
    <row r="496" spans="3:21" ht="16.5" customHeight="1">
      <c r="C496" s="29"/>
      <c r="D496" s="29"/>
      <c r="E496" s="29"/>
      <c r="H496" s="29"/>
      <c r="I496" s="29"/>
      <c r="J496" s="29"/>
      <c r="K496" s="31"/>
      <c r="L496" s="32"/>
      <c r="M496" s="29"/>
      <c r="N496" s="29"/>
      <c r="O496" s="29"/>
      <c r="P496" s="29"/>
      <c r="Q496" s="29"/>
      <c r="R496" s="29"/>
      <c r="S496" s="37"/>
      <c r="T496" s="29"/>
      <c r="U496" s="29"/>
    </row>
    <row r="497" spans="3:21" ht="16.5" customHeight="1">
      <c r="C497" s="29"/>
      <c r="D497" s="29"/>
      <c r="E497" s="29"/>
      <c r="H497" s="29"/>
      <c r="I497" s="29"/>
      <c r="J497" s="29"/>
      <c r="K497" s="31"/>
      <c r="L497" s="32"/>
      <c r="M497" s="29"/>
      <c r="N497" s="29"/>
      <c r="O497" s="29"/>
      <c r="P497" s="29"/>
      <c r="Q497" s="29"/>
      <c r="R497" s="29"/>
      <c r="S497" s="37"/>
      <c r="T497" s="29"/>
      <c r="U497" s="29"/>
    </row>
    <row r="498" spans="3:21" ht="16.5" customHeight="1">
      <c r="C498" s="29"/>
      <c r="D498" s="29"/>
      <c r="E498" s="29"/>
      <c r="H498" s="29"/>
      <c r="I498" s="29"/>
      <c r="J498" s="29"/>
      <c r="K498" s="31"/>
      <c r="L498" s="32"/>
      <c r="M498" s="29"/>
      <c r="N498" s="29"/>
      <c r="O498" s="29"/>
      <c r="P498" s="29"/>
      <c r="Q498" s="29"/>
      <c r="R498" s="29"/>
      <c r="S498" s="37"/>
      <c r="T498" s="29"/>
      <c r="U498" s="29"/>
    </row>
    <row r="499" spans="3:21" ht="16.5" customHeight="1">
      <c r="C499" s="29"/>
      <c r="D499" s="29"/>
      <c r="E499" s="29"/>
      <c r="H499" s="29"/>
      <c r="I499" s="29"/>
      <c r="J499" s="29"/>
      <c r="K499" s="31"/>
      <c r="L499" s="32"/>
      <c r="M499" s="29"/>
      <c r="N499" s="29"/>
      <c r="O499" s="29"/>
      <c r="P499" s="29"/>
      <c r="Q499" s="29"/>
      <c r="R499" s="29"/>
      <c r="S499" s="37"/>
      <c r="T499" s="29"/>
      <c r="U499" s="29"/>
    </row>
    <row r="500" spans="3:21" ht="16.5" customHeight="1">
      <c r="C500" s="29"/>
      <c r="D500" s="29"/>
      <c r="E500" s="29"/>
      <c r="H500" s="29"/>
      <c r="I500" s="29"/>
      <c r="J500" s="29"/>
      <c r="K500" s="31"/>
      <c r="L500" s="32"/>
      <c r="M500" s="29"/>
      <c r="N500" s="29"/>
      <c r="O500" s="29"/>
      <c r="P500" s="29"/>
      <c r="Q500" s="29"/>
      <c r="R500" s="29"/>
      <c r="S500" s="37"/>
      <c r="T500" s="29"/>
      <c r="U500" s="29"/>
    </row>
    <row r="501" spans="3:21" ht="16.5" customHeight="1">
      <c r="C501" s="29"/>
      <c r="D501" s="29"/>
      <c r="E501" s="29"/>
      <c r="H501" s="29"/>
      <c r="I501" s="29"/>
      <c r="J501" s="29"/>
      <c r="K501" s="31"/>
      <c r="L501" s="32"/>
      <c r="M501" s="29"/>
      <c r="N501" s="29"/>
      <c r="O501" s="29"/>
      <c r="P501" s="29"/>
      <c r="Q501" s="29"/>
      <c r="R501" s="29"/>
      <c r="S501" s="37"/>
      <c r="T501" s="29"/>
      <c r="U501" s="29"/>
    </row>
    <row r="502" spans="3:21" ht="16.5" customHeight="1">
      <c r="C502" s="29"/>
      <c r="D502" s="29"/>
      <c r="E502" s="29"/>
      <c r="H502" s="29"/>
      <c r="I502" s="29"/>
      <c r="J502" s="29"/>
      <c r="K502" s="31"/>
      <c r="L502" s="32"/>
      <c r="M502" s="29"/>
      <c r="N502" s="29"/>
      <c r="O502" s="29"/>
      <c r="P502" s="29"/>
      <c r="Q502" s="29"/>
      <c r="R502" s="29"/>
      <c r="S502" s="37"/>
      <c r="T502" s="29"/>
      <c r="U502" s="29"/>
    </row>
    <row r="503" spans="3:21" ht="16.5" customHeight="1">
      <c r="C503" s="29"/>
      <c r="D503" s="29"/>
      <c r="E503" s="29"/>
      <c r="H503" s="29"/>
      <c r="I503" s="29"/>
      <c r="J503" s="29"/>
      <c r="K503" s="31"/>
      <c r="L503" s="32"/>
      <c r="M503" s="29"/>
      <c r="N503" s="29"/>
      <c r="O503" s="29"/>
      <c r="P503" s="29"/>
      <c r="Q503" s="29"/>
      <c r="R503" s="29"/>
      <c r="S503" s="37"/>
      <c r="T503" s="29"/>
      <c r="U503" s="29"/>
    </row>
    <row r="504" spans="3:21" ht="16.5" customHeight="1">
      <c r="C504" s="29"/>
      <c r="D504" s="29"/>
      <c r="E504" s="29"/>
      <c r="H504" s="29"/>
      <c r="I504" s="29"/>
      <c r="J504" s="29"/>
      <c r="K504" s="31"/>
      <c r="L504" s="32"/>
      <c r="M504" s="29"/>
      <c r="N504" s="29"/>
      <c r="O504" s="29"/>
      <c r="P504" s="29"/>
      <c r="Q504" s="29"/>
      <c r="R504" s="29"/>
      <c r="S504" s="37"/>
      <c r="T504" s="29"/>
      <c r="U504" s="29"/>
    </row>
    <row r="505" spans="3:21" ht="16.5" customHeight="1">
      <c r="C505" s="29"/>
      <c r="D505" s="29"/>
      <c r="E505" s="29"/>
      <c r="H505" s="29"/>
      <c r="I505" s="29"/>
      <c r="J505" s="29"/>
      <c r="K505" s="31"/>
      <c r="L505" s="32"/>
      <c r="M505" s="29"/>
      <c r="N505" s="29"/>
      <c r="O505" s="29"/>
      <c r="P505" s="29"/>
      <c r="Q505" s="29"/>
      <c r="R505" s="29"/>
      <c r="S505" s="37"/>
      <c r="T505" s="29"/>
      <c r="U505" s="29"/>
    </row>
    <row r="506" spans="3:21" ht="16.5" customHeight="1">
      <c r="C506" s="29"/>
      <c r="D506" s="29"/>
      <c r="E506" s="29"/>
      <c r="H506" s="29"/>
      <c r="I506" s="29"/>
      <c r="J506" s="29"/>
      <c r="K506" s="31"/>
      <c r="L506" s="32"/>
      <c r="M506" s="29"/>
      <c r="N506" s="29"/>
      <c r="O506" s="29"/>
      <c r="P506" s="29"/>
      <c r="Q506" s="29"/>
      <c r="R506" s="29"/>
      <c r="S506" s="37"/>
      <c r="T506" s="29"/>
      <c r="U506" s="29"/>
    </row>
    <row r="507" spans="3:21" ht="16.5" customHeight="1">
      <c r="C507" s="29"/>
      <c r="D507" s="29"/>
      <c r="E507" s="29"/>
      <c r="H507" s="29"/>
      <c r="I507" s="29"/>
      <c r="J507" s="29"/>
      <c r="K507" s="31"/>
      <c r="L507" s="32"/>
      <c r="M507" s="29"/>
      <c r="N507" s="29"/>
      <c r="O507" s="29"/>
      <c r="P507" s="29"/>
      <c r="Q507" s="29"/>
      <c r="R507" s="29"/>
      <c r="S507" s="37"/>
      <c r="T507" s="29"/>
      <c r="U507" s="29"/>
    </row>
    <row r="508" spans="3:21" ht="16.5" customHeight="1">
      <c r="C508" s="29"/>
      <c r="D508" s="29"/>
      <c r="E508" s="29"/>
      <c r="H508" s="29"/>
      <c r="I508" s="29"/>
      <c r="J508" s="29"/>
      <c r="K508" s="31"/>
      <c r="L508" s="32"/>
      <c r="M508" s="29"/>
      <c r="N508" s="29"/>
      <c r="O508" s="29"/>
      <c r="P508" s="29"/>
      <c r="Q508" s="29"/>
      <c r="R508" s="29"/>
      <c r="S508" s="37"/>
      <c r="T508" s="29"/>
      <c r="U508" s="29"/>
    </row>
    <row r="509" spans="3:21" ht="16.5" customHeight="1">
      <c r="C509" s="29"/>
      <c r="D509" s="29"/>
      <c r="E509" s="29"/>
      <c r="H509" s="29"/>
      <c r="I509" s="29"/>
      <c r="J509" s="29"/>
      <c r="K509" s="31"/>
      <c r="L509" s="32"/>
      <c r="M509" s="29"/>
      <c r="N509" s="29"/>
      <c r="O509" s="29"/>
      <c r="P509" s="29"/>
      <c r="Q509" s="29"/>
      <c r="R509" s="29"/>
      <c r="S509" s="37"/>
      <c r="T509" s="29"/>
      <c r="U509" s="29"/>
    </row>
    <row r="510" spans="3:21" ht="16.5" customHeight="1">
      <c r="C510" s="29"/>
      <c r="D510" s="29"/>
      <c r="E510" s="29"/>
      <c r="H510" s="29"/>
      <c r="I510" s="29"/>
      <c r="J510" s="29"/>
      <c r="K510" s="31"/>
      <c r="L510" s="32"/>
      <c r="M510" s="29"/>
      <c r="N510" s="29"/>
      <c r="O510" s="29"/>
      <c r="P510" s="29"/>
      <c r="Q510" s="29"/>
      <c r="R510" s="29"/>
      <c r="S510" s="37"/>
      <c r="T510" s="29"/>
      <c r="U510" s="29"/>
    </row>
    <row r="511" spans="3:21" ht="16.5" customHeight="1">
      <c r="C511" s="29"/>
      <c r="D511" s="29"/>
      <c r="E511" s="29"/>
      <c r="H511" s="29"/>
      <c r="I511" s="29"/>
      <c r="J511" s="29"/>
      <c r="K511" s="31"/>
      <c r="L511" s="32"/>
      <c r="M511" s="29"/>
      <c r="N511" s="29"/>
      <c r="O511" s="29"/>
      <c r="P511" s="29"/>
      <c r="Q511" s="29"/>
      <c r="R511" s="29"/>
      <c r="S511" s="37"/>
      <c r="T511" s="29"/>
      <c r="U511" s="29"/>
    </row>
    <row r="512" spans="3:21" ht="16.5" customHeight="1">
      <c r="C512" s="29"/>
      <c r="D512" s="29"/>
      <c r="E512" s="29"/>
      <c r="H512" s="29"/>
      <c r="I512" s="29"/>
      <c r="J512" s="29"/>
      <c r="K512" s="31"/>
      <c r="L512" s="32"/>
      <c r="M512" s="29"/>
      <c r="N512" s="29"/>
      <c r="O512" s="29"/>
      <c r="P512" s="29"/>
      <c r="Q512" s="29"/>
      <c r="R512" s="29"/>
      <c r="S512" s="37"/>
      <c r="T512" s="29"/>
      <c r="U512" s="29"/>
    </row>
    <row r="513" spans="3:21" ht="16.5" customHeight="1">
      <c r="C513" s="29"/>
      <c r="D513" s="29"/>
      <c r="E513" s="29"/>
      <c r="H513" s="29"/>
      <c r="I513" s="29"/>
      <c r="J513" s="29"/>
      <c r="K513" s="31"/>
      <c r="L513" s="32"/>
      <c r="M513" s="29"/>
      <c r="N513" s="29"/>
      <c r="O513" s="29"/>
      <c r="P513" s="29"/>
      <c r="Q513" s="29"/>
      <c r="R513" s="29"/>
      <c r="S513" s="37"/>
      <c r="T513" s="29"/>
      <c r="U513" s="29"/>
    </row>
    <row r="514" spans="3:21" ht="16.5" customHeight="1">
      <c r="C514" s="29"/>
      <c r="D514" s="29"/>
      <c r="E514" s="29"/>
      <c r="H514" s="29"/>
      <c r="I514" s="29"/>
      <c r="J514" s="29"/>
      <c r="K514" s="31"/>
      <c r="L514" s="32"/>
      <c r="M514" s="29"/>
      <c r="N514" s="29"/>
      <c r="O514" s="29"/>
      <c r="P514" s="29"/>
      <c r="Q514" s="29"/>
      <c r="R514" s="29"/>
      <c r="S514" s="37"/>
      <c r="T514" s="29"/>
      <c r="U514" s="29"/>
    </row>
    <row r="515" spans="3:21" ht="16.5" customHeight="1">
      <c r="C515" s="29"/>
      <c r="D515" s="29"/>
      <c r="E515" s="29"/>
      <c r="H515" s="29"/>
      <c r="I515" s="29"/>
      <c r="J515" s="29"/>
      <c r="K515" s="31"/>
      <c r="L515" s="32"/>
      <c r="M515" s="29"/>
      <c r="N515" s="29"/>
      <c r="O515" s="29"/>
      <c r="P515" s="29"/>
      <c r="Q515" s="29"/>
      <c r="R515" s="29"/>
      <c r="S515" s="37"/>
      <c r="T515" s="29"/>
      <c r="U515" s="29"/>
    </row>
    <row r="516" spans="3:21" ht="16.5" customHeight="1">
      <c r="C516" s="29"/>
      <c r="D516" s="29"/>
      <c r="E516" s="29"/>
      <c r="H516" s="29"/>
      <c r="I516" s="29"/>
      <c r="J516" s="29"/>
      <c r="K516" s="31"/>
      <c r="L516" s="32"/>
      <c r="M516" s="29"/>
      <c r="N516" s="29"/>
      <c r="O516" s="29"/>
      <c r="P516" s="29"/>
      <c r="Q516" s="29"/>
      <c r="R516" s="29"/>
      <c r="S516" s="37"/>
      <c r="T516" s="29"/>
      <c r="U516" s="29"/>
    </row>
    <row r="517" spans="3:21" ht="16.5" customHeight="1">
      <c r="C517" s="29"/>
      <c r="D517" s="29"/>
      <c r="E517" s="29"/>
      <c r="H517" s="29"/>
      <c r="I517" s="29"/>
      <c r="J517" s="29"/>
      <c r="K517" s="31"/>
      <c r="L517" s="32"/>
      <c r="M517" s="29"/>
      <c r="N517" s="29"/>
      <c r="O517" s="29"/>
      <c r="P517" s="29"/>
      <c r="Q517" s="29"/>
      <c r="R517" s="29"/>
      <c r="S517" s="37"/>
      <c r="T517" s="29"/>
      <c r="U517" s="29"/>
    </row>
    <row r="518" spans="3:21" ht="16.5" customHeight="1">
      <c r="C518" s="29"/>
      <c r="D518" s="29"/>
      <c r="E518" s="29"/>
      <c r="H518" s="29"/>
      <c r="I518" s="29"/>
      <c r="J518" s="29"/>
      <c r="K518" s="31"/>
      <c r="L518" s="32"/>
      <c r="M518" s="29"/>
      <c r="N518" s="29"/>
      <c r="O518" s="29"/>
      <c r="P518" s="29"/>
      <c r="Q518" s="29"/>
      <c r="R518" s="29"/>
      <c r="S518" s="37"/>
      <c r="T518" s="29"/>
      <c r="U518" s="29"/>
    </row>
    <row r="519" spans="3:21" ht="16.5" customHeight="1">
      <c r="C519" s="29"/>
      <c r="D519" s="29"/>
      <c r="E519" s="29"/>
      <c r="H519" s="29"/>
      <c r="I519" s="29"/>
      <c r="J519" s="29"/>
      <c r="K519" s="31"/>
      <c r="L519" s="32"/>
      <c r="M519" s="29"/>
      <c r="N519" s="29"/>
      <c r="O519" s="29"/>
      <c r="P519" s="29"/>
      <c r="Q519" s="29"/>
      <c r="R519" s="29"/>
      <c r="S519" s="37"/>
      <c r="T519" s="29"/>
      <c r="U519" s="29"/>
    </row>
    <row r="520" spans="3:21" ht="16.5" customHeight="1">
      <c r="C520" s="29"/>
      <c r="D520" s="29"/>
      <c r="E520" s="29"/>
      <c r="H520" s="29"/>
      <c r="I520" s="29"/>
      <c r="J520" s="29"/>
      <c r="K520" s="31"/>
      <c r="L520" s="32"/>
      <c r="M520" s="29"/>
      <c r="N520" s="29"/>
      <c r="O520" s="29"/>
      <c r="P520" s="29"/>
      <c r="Q520" s="29"/>
      <c r="R520" s="29"/>
      <c r="S520" s="37"/>
      <c r="T520" s="29"/>
      <c r="U520" s="29"/>
    </row>
    <row r="521" spans="3:21" ht="16.5" customHeight="1">
      <c r="C521" s="29"/>
      <c r="D521" s="29"/>
      <c r="E521" s="29"/>
      <c r="H521" s="29"/>
      <c r="I521" s="29"/>
      <c r="J521" s="29"/>
      <c r="K521" s="31"/>
      <c r="L521" s="32"/>
      <c r="M521" s="29"/>
      <c r="N521" s="29"/>
      <c r="O521" s="29"/>
      <c r="P521" s="29"/>
      <c r="Q521" s="29"/>
      <c r="R521" s="29"/>
      <c r="S521" s="37"/>
      <c r="T521" s="29"/>
      <c r="U521" s="29"/>
    </row>
    <row r="522" spans="3:21" ht="16.5" customHeight="1">
      <c r="C522" s="29"/>
      <c r="D522" s="29"/>
      <c r="E522" s="29"/>
      <c r="H522" s="29"/>
      <c r="I522" s="29"/>
      <c r="J522" s="29"/>
      <c r="K522" s="31"/>
      <c r="L522" s="32"/>
      <c r="M522" s="29"/>
      <c r="N522" s="29"/>
      <c r="O522" s="29"/>
      <c r="P522" s="29"/>
      <c r="Q522" s="29"/>
      <c r="R522" s="29"/>
      <c r="S522" s="37"/>
      <c r="T522" s="29"/>
      <c r="U522" s="29"/>
    </row>
    <row r="523" spans="3:21" ht="16.5" customHeight="1">
      <c r="C523" s="29"/>
      <c r="D523" s="29"/>
      <c r="E523" s="29"/>
      <c r="H523" s="29"/>
      <c r="I523" s="29"/>
      <c r="J523" s="29"/>
      <c r="K523" s="31"/>
      <c r="L523" s="32"/>
      <c r="M523" s="29"/>
      <c r="N523" s="29"/>
      <c r="O523" s="29"/>
      <c r="P523" s="29"/>
      <c r="Q523" s="29"/>
      <c r="R523" s="29"/>
      <c r="S523" s="37"/>
      <c r="T523" s="29"/>
      <c r="U523" s="29"/>
    </row>
    <row r="524" spans="3:21" ht="16.5" customHeight="1">
      <c r="C524" s="29"/>
      <c r="D524" s="29"/>
      <c r="E524" s="29"/>
      <c r="H524" s="29"/>
      <c r="I524" s="29"/>
      <c r="J524" s="29"/>
      <c r="K524" s="31"/>
      <c r="L524" s="32"/>
      <c r="M524" s="29"/>
      <c r="N524" s="29"/>
      <c r="O524" s="29"/>
      <c r="P524" s="29"/>
      <c r="Q524" s="29"/>
      <c r="R524" s="29"/>
      <c r="S524" s="37"/>
      <c r="T524" s="29"/>
      <c r="U524" s="29"/>
    </row>
    <row r="525" spans="3:21" ht="16.5" customHeight="1">
      <c r="C525" s="29"/>
      <c r="D525" s="29"/>
      <c r="E525" s="29"/>
      <c r="H525" s="29"/>
      <c r="I525" s="29"/>
      <c r="J525" s="29"/>
      <c r="K525" s="31"/>
      <c r="L525" s="32"/>
      <c r="M525" s="29"/>
      <c r="N525" s="29"/>
      <c r="O525" s="29"/>
      <c r="P525" s="29"/>
      <c r="Q525" s="29"/>
      <c r="R525" s="29"/>
      <c r="S525" s="37"/>
      <c r="T525" s="29"/>
      <c r="U525" s="29"/>
    </row>
    <row r="526" spans="3:21" ht="16.5" customHeight="1">
      <c r="C526" s="29"/>
      <c r="D526" s="29"/>
      <c r="E526" s="29"/>
      <c r="H526" s="29"/>
      <c r="I526" s="29"/>
      <c r="J526" s="29"/>
      <c r="K526" s="31"/>
      <c r="L526" s="32"/>
      <c r="M526" s="29"/>
      <c r="N526" s="29"/>
      <c r="O526" s="29"/>
      <c r="P526" s="29"/>
      <c r="Q526" s="29"/>
      <c r="R526" s="29"/>
      <c r="S526" s="37"/>
      <c r="T526" s="29"/>
      <c r="U526" s="29"/>
    </row>
    <row r="527" spans="3:21" ht="16.5" customHeight="1">
      <c r="C527" s="29"/>
      <c r="D527" s="29"/>
      <c r="E527" s="29"/>
      <c r="H527" s="29"/>
      <c r="I527" s="29"/>
      <c r="J527" s="29"/>
      <c r="K527" s="31"/>
      <c r="L527" s="32"/>
      <c r="M527" s="29"/>
      <c r="N527" s="29"/>
      <c r="O527" s="29"/>
      <c r="P527" s="29"/>
      <c r="Q527" s="29"/>
      <c r="R527" s="29"/>
      <c r="S527" s="37"/>
      <c r="T527" s="29"/>
      <c r="U527" s="29"/>
    </row>
    <row r="528" spans="3:21" ht="16.5" customHeight="1">
      <c r="C528" s="29"/>
      <c r="D528" s="29"/>
      <c r="E528" s="29"/>
      <c r="H528" s="29"/>
      <c r="I528" s="29"/>
      <c r="J528" s="29"/>
      <c r="K528" s="31"/>
      <c r="L528" s="32"/>
      <c r="M528" s="29"/>
      <c r="N528" s="29"/>
      <c r="O528" s="29"/>
      <c r="P528" s="29"/>
      <c r="Q528" s="29"/>
      <c r="R528" s="29"/>
      <c r="S528" s="37"/>
      <c r="T528" s="29"/>
      <c r="U528" s="29"/>
    </row>
    <row r="529" spans="3:21" ht="16.5" customHeight="1">
      <c r="C529" s="29"/>
      <c r="D529" s="29"/>
      <c r="E529" s="29"/>
      <c r="H529" s="29"/>
      <c r="I529" s="29"/>
      <c r="J529" s="29"/>
      <c r="K529" s="31"/>
      <c r="L529" s="32"/>
      <c r="M529" s="29"/>
      <c r="N529" s="29"/>
      <c r="O529" s="29"/>
      <c r="P529" s="29"/>
      <c r="Q529" s="29"/>
      <c r="R529" s="29"/>
      <c r="S529" s="37"/>
      <c r="T529" s="29"/>
      <c r="U529" s="29"/>
    </row>
    <row r="530" spans="3:21" ht="16.5" customHeight="1">
      <c r="C530" s="29"/>
      <c r="D530" s="29"/>
      <c r="E530" s="29"/>
      <c r="H530" s="29"/>
      <c r="I530" s="29"/>
      <c r="J530" s="29"/>
      <c r="K530" s="31"/>
      <c r="L530" s="32"/>
      <c r="M530" s="29"/>
      <c r="N530" s="29"/>
      <c r="O530" s="29"/>
      <c r="P530" s="29"/>
      <c r="Q530" s="29"/>
      <c r="R530" s="29"/>
      <c r="S530" s="37"/>
      <c r="T530" s="29"/>
      <c r="U530" s="29"/>
    </row>
    <row r="531" spans="3:21" ht="16.5" customHeight="1">
      <c r="C531" s="29"/>
      <c r="D531" s="29"/>
      <c r="E531" s="29"/>
      <c r="H531" s="29"/>
      <c r="I531" s="29"/>
      <c r="J531" s="29"/>
      <c r="K531" s="31"/>
      <c r="L531" s="32"/>
      <c r="M531" s="29"/>
      <c r="N531" s="29"/>
      <c r="O531" s="29"/>
      <c r="P531" s="29"/>
      <c r="Q531" s="29"/>
      <c r="R531" s="29"/>
      <c r="S531" s="37"/>
      <c r="T531" s="29"/>
      <c r="U531" s="29"/>
    </row>
    <row r="532" spans="3:21" ht="16.5" customHeight="1">
      <c r="C532" s="29"/>
      <c r="D532" s="29"/>
      <c r="E532" s="29"/>
      <c r="H532" s="29"/>
      <c r="I532" s="29"/>
      <c r="J532" s="29"/>
      <c r="K532" s="31"/>
      <c r="L532" s="32"/>
      <c r="M532" s="29"/>
      <c r="N532" s="29"/>
      <c r="O532" s="29"/>
      <c r="P532" s="29"/>
      <c r="Q532" s="29"/>
      <c r="R532" s="29"/>
      <c r="S532" s="37"/>
      <c r="T532" s="29"/>
      <c r="U532" s="29"/>
    </row>
    <row r="533" spans="3:21" ht="16.5" customHeight="1">
      <c r="C533" s="29"/>
      <c r="D533" s="29"/>
      <c r="E533" s="29"/>
      <c r="H533" s="29"/>
      <c r="I533" s="29"/>
      <c r="J533" s="29"/>
      <c r="K533" s="31"/>
      <c r="L533" s="32"/>
      <c r="M533" s="29"/>
      <c r="N533" s="29"/>
      <c r="O533" s="29"/>
      <c r="P533" s="29"/>
      <c r="Q533" s="29"/>
      <c r="R533" s="29"/>
      <c r="S533" s="37"/>
      <c r="T533" s="29"/>
      <c r="U533" s="29"/>
    </row>
    <row r="534" spans="3:21" ht="16.5" customHeight="1">
      <c r="C534" s="29"/>
      <c r="D534" s="29"/>
      <c r="E534" s="29"/>
      <c r="H534" s="29"/>
      <c r="I534" s="29"/>
      <c r="J534" s="29"/>
      <c r="K534" s="31"/>
      <c r="L534" s="32"/>
      <c r="M534" s="29"/>
      <c r="N534" s="29"/>
      <c r="O534" s="29"/>
      <c r="P534" s="29"/>
      <c r="Q534" s="29"/>
      <c r="R534" s="29"/>
      <c r="S534" s="37"/>
      <c r="T534" s="29"/>
      <c r="U534" s="29"/>
    </row>
    <row r="535" spans="3:21" ht="16.5" customHeight="1">
      <c r="C535" s="29"/>
      <c r="D535" s="29"/>
      <c r="E535" s="29"/>
      <c r="H535" s="29"/>
      <c r="I535" s="29"/>
      <c r="J535" s="29"/>
      <c r="K535" s="31"/>
      <c r="L535" s="32"/>
      <c r="M535" s="29"/>
      <c r="N535" s="29"/>
      <c r="O535" s="29"/>
      <c r="P535" s="29"/>
      <c r="Q535" s="29"/>
      <c r="R535" s="29"/>
      <c r="S535" s="37"/>
      <c r="T535" s="29"/>
      <c r="U535" s="29"/>
    </row>
    <row r="536" spans="3:21" ht="16.5" customHeight="1">
      <c r="C536" s="29"/>
      <c r="D536" s="29"/>
      <c r="E536" s="29"/>
      <c r="H536" s="29"/>
      <c r="I536" s="29"/>
      <c r="J536" s="29"/>
      <c r="K536" s="31"/>
      <c r="L536" s="32"/>
      <c r="M536" s="29"/>
      <c r="N536" s="29"/>
      <c r="O536" s="29"/>
      <c r="P536" s="29"/>
      <c r="Q536" s="29"/>
      <c r="R536" s="29"/>
      <c r="S536" s="37"/>
      <c r="T536" s="29"/>
      <c r="U536" s="29"/>
    </row>
    <row r="537" spans="3:21" ht="16.5" customHeight="1">
      <c r="C537" s="29"/>
      <c r="D537" s="29"/>
      <c r="E537" s="29"/>
      <c r="H537" s="29"/>
      <c r="I537" s="29"/>
      <c r="J537" s="29"/>
      <c r="K537" s="31"/>
      <c r="L537" s="32"/>
      <c r="M537" s="29"/>
      <c r="N537" s="29"/>
      <c r="O537" s="29"/>
      <c r="P537" s="29"/>
      <c r="Q537" s="29"/>
      <c r="R537" s="29"/>
      <c r="S537" s="37"/>
      <c r="T537" s="29"/>
      <c r="U537" s="29"/>
    </row>
    <row r="538" spans="3:21" ht="16.5" customHeight="1">
      <c r="C538" s="29"/>
      <c r="D538" s="29"/>
      <c r="E538" s="29"/>
      <c r="H538" s="29"/>
      <c r="I538" s="29"/>
      <c r="J538" s="29"/>
      <c r="K538" s="31"/>
      <c r="L538" s="32"/>
      <c r="M538" s="29"/>
      <c r="N538" s="29"/>
      <c r="O538" s="29"/>
      <c r="P538" s="29"/>
      <c r="Q538" s="29"/>
      <c r="R538" s="29"/>
      <c r="S538" s="37"/>
      <c r="T538" s="29"/>
      <c r="U538" s="29"/>
    </row>
    <row r="539" spans="3:21" ht="16.5" customHeight="1">
      <c r="C539" s="29"/>
      <c r="D539" s="29"/>
      <c r="E539" s="29"/>
      <c r="H539" s="29"/>
      <c r="I539" s="29"/>
      <c r="J539" s="29"/>
      <c r="K539" s="31"/>
      <c r="L539" s="32"/>
      <c r="M539" s="29"/>
      <c r="N539" s="29"/>
      <c r="O539" s="29"/>
      <c r="P539" s="29"/>
      <c r="Q539" s="29"/>
      <c r="R539" s="29"/>
      <c r="S539" s="37"/>
      <c r="T539" s="29"/>
      <c r="U539" s="29"/>
    </row>
    <row r="540" spans="3:21" ht="16.5" customHeight="1">
      <c r="C540" s="29"/>
      <c r="D540" s="29"/>
      <c r="E540" s="29"/>
      <c r="H540" s="29"/>
      <c r="I540" s="29"/>
      <c r="J540" s="29"/>
      <c r="K540" s="31"/>
      <c r="L540" s="32"/>
      <c r="M540" s="29"/>
      <c r="N540" s="29"/>
      <c r="O540" s="29"/>
      <c r="P540" s="29"/>
      <c r="Q540" s="29"/>
      <c r="R540" s="29"/>
      <c r="S540" s="37"/>
      <c r="T540" s="29"/>
      <c r="U540" s="29"/>
    </row>
    <row r="541" spans="3:21" ht="16.5" customHeight="1">
      <c r="C541" s="29"/>
      <c r="D541" s="29"/>
      <c r="E541" s="29"/>
      <c r="H541" s="29"/>
      <c r="I541" s="29"/>
      <c r="J541" s="29"/>
      <c r="K541" s="31"/>
      <c r="L541" s="32"/>
      <c r="M541" s="29"/>
      <c r="N541" s="29"/>
      <c r="O541" s="29"/>
      <c r="P541" s="29"/>
      <c r="Q541" s="29"/>
      <c r="R541" s="29"/>
      <c r="S541" s="37"/>
      <c r="T541" s="29"/>
      <c r="U541" s="29"/>
    </row>
    <row r="542" spans="3:21" ht="16.5" customHeight="1">
      <c r="C542" s="29"/>
      <c r="D542" s="29"/>
      <c r="E542" s="29"/>
      <c r="H542" s="29"/>
      <c r="I542" s="29"/>
      <c r="J542" s="29"/>
      <c r="K542" s="31"/>
      <c r="L542" s="32"/>
      <c r="M542" s="29"/>
      <c r="N542" s="29"/>
      <c r="O542" s="29"/>
      <c r="P542" s="29"/>
      <c r="Q542" s="29"/>
      <c r="R542" s="29"/>
      <c r="S542" s="37"/>
      <c r="T542" s="29"/>
      <c r="U542" s="29"/>
    </row>
    <row r="543" spans="3:21" ht="16.5" customHeight="1">
      <c r="C543" s="29"/>
      <c r="D543" s="29"/>
      <c r="E543" s="29"/>
      <c r="H543" s="29"/>
      <c r="I543" s="29"/>
      <c r="J543" s="29"/>
      <c r="K543" s="31"/>
      <c r="L543" s="32"/>
      <c r="M543" s="29"/>
      <c r="N543" s="29"/>
      <c r="O543" s="29"/>
      <c r="P543" s="29"/>
      <c r="Q543" s="29"/>
      <c r="R543" s="29"/>
      <c r="S543" s="37"/>
      <c r="T543" s="29"/>
      <c r="U543" s="29"/>
    </row>
    <row r="544" spans="3:21" ht="16.5" customHeight="1">
      <c r="C544" s="29"/>
      <c r="D544" s="29"/>
      <c r="E544" s="29"/>
      <c r="H544" s="29"/>
      <c r="I544" s="29"/>
      <c r="J544" s="29"/>
      <c r="K544" s="31"/>
      <c r="L544" s="32"/>
      <c r="M544" s="29"/>
      <c r="N544" s="29"/>
      <c r="O544" s="29"/>
      <c r="P544" s="29"/>
      <c r="Q544" s="29"/>
      <c r="R544" s="29"/>
      <c r="S544" s="37"/>
      <c r="T544" s="29"/>
      <c r="U544" s="29"/>
    </row>
    <row r="545" spans="3:21" ht="16.5" customHeight="1">
      <c r="C545" s="29"/>
      <c r="D545" s="29"/>
      <c r="E545" s="29"/>
      <c r="H545" s="29"/>
      <c r="I545" s="29"/>
      <c r="J545" s="29"/>
      <c r="K545" s="31"/>
      <c r="L545" s="32"/>
      <c r="M545" s="29"/>
      <c r="N545" s="29"/>
      <c r="O545" s="29"/>
      <c r="P545" s="29"/>
      <c r="Q545" s="29"/>
      <c r="R545" s="29"/>
      <c r="S545" s="37"/>
      <c r="T545" s="29"/>
      <c r="U545" s="29"/>
    </row>
    <row r="546" spans="3:21" ht="16.5" customHeight="1">
      <c r="C546" s="29"/>
      <c r="D546" s="29"/>
      <c r="E546" s="29"/>
      <c r="H546" s="29"/>
      <c r="I546" s="29"/>
      <c r="J546" s="29"/>
      <c r="K546" s="31"/>
      <c r="L546" s="32"/>
      <c r="M546" s="29"/>
      <c r="N546" s="29"/>
      <c r="O546" s="29"/>
      <c r="P546" s="29"/>
      <c r="Q546" s="29"/>
      <c r="R546" s="29"/>
      <c r="S546" s="37"/>
      <c r="T546" s="29"/>
      <c r="U546" s="29"/>
    </row>
    <row r="547" spans="3:21" ht="16.5" customHeight="1">
      <c r="C547" s="29"/>
      <c r="D547" s="29"/>
      <c r="E547" s="29"/>
      <c r="H547" s="29"/>
      <c r="I547" s="29"/>
      <c r="J547" s="29"/>
      <c r="K547" s="31"/>
      <c r="L547" s="32"/>
      <c r="M547" s="29"/>
      <c r="N547" s="29"/>
      <c r="O547" s="29"/>
      <c r="P547" s="29"/>
      <c r="Q547" s="29"/>
      <c r="R547" s="29"/>
      <c r="S547" s="37"/>
      <c r="T547" s="29"/>
      <c r="U547" s="29"/>
    </row>
    <row r="548" spans="3:21" ht="16.5" customHeight="1">
      <c r="C548" s="29"/>
      <c r="D548" s="29"/>
      <c r="E548" s="29"/>
      <c r="H548" s="29"/>
      <c r="I548" s="29"/>
      <c r="J548" s="29"/>
      <c r="K548" s="31"/>
      <c r="L548" s="32"/>
      <c r="M548" s="29"/>
      <c r="N548" s="29"/>
      <c r="O548" s="29"/>
      <c r="P548" s="29"/>
      <c r="Q548" s="29"/>
      <c r="R548" s="29"/>
      <c r="S548" s="37"/>
      <c r="T548" s="29"/>
      <c r="U548" s="29"/>
    </row>
    <row r="549" spans="3:21" ht="16.5" customHeight="1">
      <c r="C549" s="29"/>
      <c r="D549" s="29"/>
      <c r="E549" s="29"/>
      <c r="H549" s="29"/>
      <c r="I549" s="29"/>
      <c r="J549" s="29"/>
      <c r="K549" s="31"/>
      <c r="L549" s="32"/>
      <c r="M549" s="29"/>
      <c r="N549" s="29"/>
      <c r="O549" s="29"/>
      <c r="P549" s="29"/>
      <c r="Q549" s="29"/>
      <c r="R549" s="29"/>
      <c r="S549" s="37"/>
      <c r="T549" s="29"/>
      <c r="U549" s="29"/>
    </row>
    <row r="550" spans="3:21" ht="16.5" customHeight="1">
      <c r="C550" s="29"/>
      <c r="D550" s="29"/>
      <c r="E550" s="29"/>
      <c r="H550" s="29"/>
      <c r="I550" s="29"/>
      <c r="J550" s="29"/>
      <c r="K550" s="31"/>
      <c r="L550" s="32"/>
      <c r="M550" s="29"/>
      <c r="N550" s="29"/>
      <c r="O550" s="29"/>
      <c r="P550" s="29"/>
      <c r="Q550" s="29"/>
      <c r="R550" s="29"/>
      <c r="S550" s="37"/>
      <c r="T550" s="29"/>
      <c r="U550" s="29"/>
    </row>
    <row r="551" spans="3:21" ht="16.5" customHeight="1">
      <c r="C551" s="29"/>
      <c r="D551" s="29"/>
      <c r="E551" s="29"/>
      <c r="H551" s="29"/>
      <c r="I551" s="29"/>
      <c r="J551" s="29"/>
      <c r="K551" s="31"/>
      <c r="L551" s="32"/>
      <c r="M551" s="29"/>
      <c r="N551" s="29"/>
      <c r="O551" s="29"/>
      <c r="P551" s="29"/>
      <c r="Q551" s="29"/>
      <c r="R551" s="29"/>
      <c r="S551" s="37"/>
      <c r="T551" s="29"/>
      <c r="U551" s="29"/>
    </row>
    <row r="552" spans="3:21" ht="16.5" customHeight="1">
      <c r="C552" s="29"/>
      <c r="D552" s="29"/>
      <c r="E552" s="29"/>
      <c r="H552" s="29"/>
      <c r="I552" s="29"/>
      <c r="J552" s="29"/>
      <c r="K552" s="31"/>
      <c r="L552" s="32"/>
      <c r="M552" s="29"/>
      <c r="N552" s="29"/>
      <c r="O552" s="29"/>
      <c r="P552" s="29"/>
      <c r="Q552" s="29"/>
      <c r="R552" s="29"/>
      <c r="S552" s="37"/>
      <c r="T552" s="29"/>
      <c r="U552" s="29"/>
    </row>
    <row r="553" spans="3:21" ht="16.5" customHeight="1">
      <c r="C553" s="29"/>
      <c r="D553" s="29"/>
      <c r="E553" s="29"/>
      <c r="H553" s="29"/>
      <c r="I553" s="29"/>
      <c r="J553" s="29"/>
      <c r="K553" s="31"/>
      <c r="L553" s="32"/>
      <c r="M553" s="29"/>
      <c r="N553" s="29"/>
      <c r="O553" s="29"/>
      <c r="P553" s="29"/>
      <c r="Q553" s="29"/>
      <c r="R553" s="29"/>
      <c r="S553" s="37"/>
      <c r="T553" s="29"/>
      <c r="U553" s="29"/>
    </row>
    <row r="554" spans="3:21" ht="16.5" customHeight="1">
      <c r="C554" s="29"/>
      <c r="D554" s="29"/>
      <c r="E554" s="29"/>
      <c r="H554" s="29"/>
      <c r="I554" s="29"/>
      <c r="J554" s="29"/>
      <c r="K554" s="31"/>
      <c r="L554" s="32"/>
      <c r="M554" s="29"/>
      <c r="N554" s="29"/>
      <c r="O554" s="29"/>
      <c r="P554" s="29"/>
      <c r="Q554" s="29"/>
      <c r="R554" s="29"/>
      <c r="S554" s="37"/>
      <c r="T554" s="29"/>
      <c r="U554" s="29"/>
    </row>
    <row r="555" spans="3:21" ht="16.5" customHeight="1">
      <c r="C555" s="29"/>
      <c r="D555" s="29"/>
      <c r="E555" s="29"/>
      <c r="H555" s="29"/>
      <c r="I555" s="29"/>
      <c r="J555" s="29"/>
      <c r="K555" s="31"/>
      <c r="L555" s="32"/>
      <c r="M555" s="29"/>
      <c r="N555" s="29"/>
      <c r="O555" s="29"/>
      <c r="P555" s="29"/>
      <c r="Q555" s="29"/>
      <c r="R555" s="29"/>
      <c r="S555" s="37"/>
      <c r="T555" s="29"/>
      <c r="U555" s="29"/>
    </row>
    <row r="556" spans="3:21" ht="16.5" customHeight="1">
      <c r="C556" s="29"/>
      <c r="D556" s="29"/>
      <c r="E556" s="29"/>
      <c r="H556" s="29"/>
      <c r="I556" s="29"/>
      <c r="J556" s="29"/>
      <c r="K556" s="31"/>
      <c r="L556" s="32"/>
      <c r="M556" s="29"/>
      <c r="N556" s="29"/>
      <c r="O556" s="29"/>
      <c r="P556" s="29"/>
      <c r="Q556" s="29"/>
      <c r="R556" s="29"/>
      <c r="S556" s="37"/>
      <c r="T556" s="29"/>
      <c r="U556" s="29"/>
    </row>
    <row r="557" spans="3:21" ht="16.5" customHeight="1">
      <c r="C557" s="29"/>
      <c r="D557" s="29"/>
      <c r="E557" s="29"/>
      <c r="H557" s="29"/>
      <c r="I557" s="29"/>
      <c r="J557" s="29"/>
      <c r="K557" s="31"/>
      <c r="L557" s="32"/>
      <c r="M557" s="29"/>
      <c r="N557" s="29"/>
      <c r="O557" s="29"/>
      <c r="P557" s="29"/>
      <c r="Q557" s="29"/>
      <c r="R557" s="29"/>
      <c r="S557" s="37"/>
      <c r="T557" s="29"/>
      <c r="U557" s="29"/>
    </row>
    <row r="558" spans="3:21" ht="16.5" customHeight="1">
      <c r="C558" s="29"/>
      <c r="D558" s="29"/>
      <c r="E558" s="29"/>
      <c r="H558" s="29"/>
      <c r="I558" s="29"/>
      <c r="J558" s="29"/>
      <c r="K558" s="31"/>
      <c r="L558" s="32"/>
      <c r="M558" s="29"/>
      <c r="N558" s="29"/>
      <c r="O558" s="29"/>
      <c r="P558" s="29"/>
      <c r="Q558" s="29"/>
      <c r="R558" s="29"/>
      <c r="S558" s="37"/>
      <c r="T558" s="29"/>
      <c r="U558" s="29"/>
    </row>
    <row r="559" spans="3:21" ht="16.5" customHeight="1">
      <c r="C559" s="29"/>
      <c r="D559" s="29"/>
      <c r="E559" s="29"/>
      <c r="H559" s="29"/>
      <c r="I559" s="29"/>
      <c r="J559" s="29"/>
      <c r="K559" s="31"/>
      <c r="L559" s="32"/>
      <c r="M559" s="29"/>
      <c r="N559" s="29"/>
      <c r="O559" s="29"/>
      <c r="P559" s="29"/>
      <c r="Q559" s="29"/>
      <c r="R559" s="29"/>
      <c r="S559" s="37"/>
      <c r="T559" s="29"/>
      <c r="U559" s="29"/>
    </row>
    <row r="560" spans="3:21" ht="16.5" customHeight="1">
      <c r="C560" s="29"/>
      <c r="D560" s="29"/>
      <c r="E560" s="29"/>
      <c r="H560" s="29"/>
      <c r="I560" s="29"/>
      <c r="J560" s="29"/>
      <c r="K560" s="31"/>
      <c r="L560" s="32"/>
      <c r="M560" s="29"/>
      <c r="N560" s="29"/>
      <c r="O560" s="29"/>
      <c r="P560" s="29"/>
      <c r="Q560" s="29"/>
      <c r="R560" s="29"/>
      <c r="S560" s="37"/>
      <c r="T560" s="29"/>
      <c r="U560" s="29"/>
    </row>
    <row r="561" spans="3:21" ht="16.5" customHeight="1">
      <c r="C561" s="29"/>
      <c r="D561" s="29"/>
      <c r="E561" s="29"/>
      <c r="H561" s="29"/>
      <c r="I561" s="29"/>
      <c r="J561" s="29"/>
      <c r="K561" s="31"/>
      <c r="L561" s="32"/>
      <c r="M561" s="29"/>
      <c r="N561" s="29"/>
      <c r="O561" s="29"/>
      <c r="P561" s="29"/>
      <c r="Q561" s="29"/>
      <c r="R561" s="29"/>
      <c r="S561" s="37"/>
      <c r="T561" s="29"/>
      <c r="U561" s="29"/>
    </row>
    <row r="562" spans="3:21" ht="16.5" customHeight="1">
      <c r="C562" s="29"/>
      <c r="D562" s="29"/>
      <c r="E562" s="29"/>
      <c r="H562" s="29"/>
      <c r="I562" s="29"/>
      <c r="J562" s="29"/>
      <c r="K562" s="31"/>
      <c r="L562" s="32"/>
      <c r="M562" s="29"/>
      <c r="N562" s="29"/>
      <c r="O562" s="29"/>
      <c r="P562" s="29"/>
      <c r="Q562" s="29"/>
      <c r="R562" s="29"/>
      <c r="S562" s="37"/>
      <c r="T562" s="29"/>
      <c r="U562" s="29"/>
    </row>
    <row r="563" spans="3:21" ht="16.5" customHeight="1">
      <c r="C563" s="29"/>
      <c r="D563" s="29"/>
      <c r="E563" s="29"/>
      <c r="H563" s="29"/>
      <c r="I563" s="29"/>
      <c r="J563" s="29"/>
      <c r="K563" s="31"/>
      <c r="L563" s="32"/>
      <c r="M563" s="29"/>
      <c r="N563" s="29"/>
      <c r="O563" s="29"/>
      <c r="P563" s="29"/>
      <c r="Q563" s="29"/>
      <c r="R563" s="29"/>
      <c r="S563" s="37"/>
      <c r="T563" s="29"/>
      <c r="U563" s="29"/>
    </row>
    <row r="564" spans="3:21" ht="16.5" customHeight="1">
      <c r="C564" s="29"/>
      <c r="D564" s="29"/>
      <c r="E564" s="29"/>
      <c r="H564" s="29"/>
      <c r="I564" s="29"/>
      <c r="J564" s="29"/>
      <c r="K564" s="31"/>
      <c r="L564" s="32"/>
      <c r="M564" s="29"/>
      <c r="N564" s="29"/>
      <c r="O564" s="29"/>
      <c r="P564" s="29"/>
      <c r="Q564" s="29"/>
      <c r="R564" s="29"/>
      <c r="S564" s="37"/>
      <c r="T564" s="29"/>
      <c r="U564" s="29"/>
    </row>
    <row r="565" spans="3:21" ht="16.5" customHeight="1">
      <c r="C565" s="29"/>
      <c r="D565" s="29"/>
      <c r="E565" s="29"/>
      <c r="H565" s="29"/>
      <c r="I565" s="29"/>
      <c r="J565" s="29"/>
      <c r="K565" s="31"/>
      <c r="L565" s="32"/>
      <c r="M565" s="29"/>
      <c r="N565" s="29"/>
      <c r="O565" s="29"/>
      <c r="P565" s="29"/>
      <c r="Q565" s="29"/>
      <c r="R565" s="29"/>
      <c r="S565" s="37"/>
      <c r="T565" s="29"/>
      <c r="U565" s="29"/>
    </row>
    <row r="566" spans="3:21" ht="16.5" customHeight="1">
      <c r="C566" s="29"/>
      <c r="D566" s="29"/>
      <c r="E566" s="29"/>
      <c r="H566" s="29"/>
      <c r="I566" s="29"/>
      <c r="J566" s="29"/>
      <c r="K566" s="31"/>
      <c r="L566" s="32"/>
      <c r="M566" s="29"/>
      <c r="N566" s="29"/>
      <c r="O566" s="29"/>
      <c r="P566" s="29"/>
      <c r="Q566" s="29"/>
      <c r="R566" s="29"/>
      <c r="S566" s="37"/>
      <c r="T566" s="29"/>
      <c r="U566" s="29"/>
    </row>
    <row r="567" spans="3:21" ht="16.5" customHeight="1">
      <c r="C567" s="29"/>
      <c r="D567" s="29"/>
      <c r="E567" s="29"/>
      <c r="H567" s="29"/>
      <c r="I567" s="29"/>
      <c r="J567" s="29"/>
      <c r="K567" s="31"/>
      <c r="L567" s="32"/>
      <c r="M567" s="29"/>
      <c r="N567" s="29"/>
      <c r="O567" s="29"/>
      <c r="P567" s="29"/>
      <c r="Q567" s="29"/>
      <c r="R567" s="29"/>
      <c r="S567" s="37"/>
      <c r="T567" s="29"/>
      <c r="U567" s="29"/>
    </row>
    <row r="568" spans="3:21" ht="16.5" customHeight="1">
      <c r="C568" s="29"/>
      <c r="D568" s="29"/>
      <c r="E568" s="29"/>
      <c r="H568" s="29"/>
      <c r="I568" s="29"/>
      <c r="J568" s="29"/>
      <c r="K568" s="31"/>
      <c r="L568" s="32"/>
      <c r="M568" s="29"/>
      <c r="N568" s="29"/>
      <c r="O568" s="29"/>
      <c r="P568" s="29"/>
      <c r="Q568" s="29"/>
      <c r="R568" s="29"/>
      <c r="S568" s="37"/>
      <c r="T568" s="29"/>
      <c r="U568" s="29"/>
    </row>
    <row r="569" spans="3:21" ht="16.5" customHeight="1">
      <c r="C569" s="29"/>
      <c r="D569" s="29"/>
      <c r="E569" s="29"/>
      <c r="H569" s="29"/>
      <c r="I569" s="29"/>
      <c r="J569" s="29"/>
      <c r="K569" s="31"/>
      <c r="L569" s="32"/>
      <c r="M569" s="29"/>
      <c r="N569" s="29"/>
      <c r="O569" s="29"/>
      <c r="P569" s="29"/>
      <c r="Q569" s="29"/>
      <c r="R569" s="29"/>
      <c r="S569" s="37"/>
      <c r="T569" s="29"/>
      <c r="U569" s="29"/>
    </row>
    <row r="570" spans="3:21" ht="16.5" customHeight="1">
      <c r="C570" s="29"/>
      <c r="D570" s="29"/>
      <c r="E570" s="29"/>
      <c r="H570" s="29"/>
      <c r="I570" s="29"/>
      <c r="J570" s="29"/>
      <c r="K570" s="31"/>
      <c r="L570" s="32"/>
      <c r="M570" s="29"/>
      <c r="N570" s="29"/>
      <c r="O570" s="29"/>
      <c r="P570" s="29"/>
      <c r="Q570" s="29"/>
      <c r="R570" s="29"/>
      <c r="S570" s="37"/>
      <c r="T570" s="29"/>
      <c r="U570" s="29"/>
    </row>
    <row r="571" spans="3:21" ht="16.5" customHeight="1">
      <c r="C571" s="29"/>
      <c r="D571" s="29"/>
      <c r="E571" s="29"/>
      <c r="H571" s="29"/>
      <c r="I571" s="29"/>
      <c r="J571" s="29"/>
      <c r="K571" s="31"/>
      <c r="L571" s="32"/>
      <c r="M571" s="29"/>
      <c r="N571" s="29"/>
      <c r="O571" s="29"/>
      <c r="P571" s="29"/>
      <c r="Q571" s="29"/>
      <c r="R571" s="29"/>
      <c r="S571" s="37"/>
      <c r="T571" s="29"/>
      <c r="U571" s="29"/>
    </row>
    <row r="572" spans="3:21" ht="16.5" customHeight="1">
      <c r="C572" s="29"/>
      <c r="D572" s="29"/>
      <c r="E572" s="29"/>
      <c r="H572" s="29"/>
      <c r="I572" s="29"/>
      <c r="J572" s="29"/>
      <c r="K572" s="31"/>
      <c r="L572" s="32"/>
      <c r="M572" s="29"/>
      <c r="N572" s="29"/>
      <c r="O572" s="29"/>
      <c r="P572" s="29"/>
      <c r="Q572" s="29"/>
      <c r="R572" s="29"/>
      <c r="S572" s="37"/>
      <c r="T572" s="29"/>
      <c r="U572" s="29"/>
    </row>
    <row r="573" spans="3:21" ht="16.5" customHeight="1">
      <c r="C573" s="29"/>
      <c r="D573" s="29"/>
      <c r="E573" s="29"/>
      <c r="H573" s="29"/>
      <c r="I573" s="29"/>
      <c r="J573" s="29"/>
      <c r="K573" s="31"/>
      <c r="L573" s="32"/>
      <c r="M573" s="29"/>
      <c r="N573" s="29"/>
      <c r="O573" s="29"/>
      <c r="P573" s="29"/>
      <c r="Q573" s="29"/>
      <c r="R573" s="29"/>
      <c r="S573" s="37"/>
      <c r="T573" s="29"/>
      <c r="U573" s="29"/>
    </row>
    <row r="574" spans="3:21" ht="16.5" customHeight="1">
      <c r="C574" s="29"/>
      <c r="D574" s="29"/>
      <c r="E574" s="29"/>
      <c r="H574" s="29"/>
      <c r="I574" s="29"/>
      <c r="J574" s="29"/>
      <c r="K574" s="31"/>
      <c r="L574" s="32"/>
      <c r="M574" s="29"/>
      <c r="N574" s="29"/>
      <c r="O574" s="29"/>
      <c r="P574" s="29"/>
      <c r="Q574" s="29"/>
      <c r="R574" s="29"/>
      <c r="S574" s="37"/>
      <c r="T574" s="29"/>
      <c r="U574" s="29"/>
    </row>
    <row r="575" spans="3:21" ht="16.5" customHeight="1">
      <c r="C575" s="29"/>
      <c r="D575" s="29"/>
      <c r="E575" s="29"/>
      <c r="H575" s="29"/>
      <c r="I575" s="29"/>
      <c r="J575" s="29"/>
      <c r="K575" s="31"/>
      <c r="L575" s="32"/>
      <c r="M575" s="29"/>
      <c r="N575" s="29"/>
      <c r="O575" s="29"/>
      <c r="P575" s="29"/>
      <c r="Q575" s="29"/>
      <c r="R575" s="29"/>
      <c r="S575" s="37"/>
      <c r="T575" s="29"/>
      <c r="U575" s="29"/>
    </row>
    <row r="576" spans="3:21" ht="16.5" customHeight="1">
      <c r="C576" s="29"/>
      <c r="D576" s="29"/>
      <c r="E576" s="29"/>
      <c r="H576" s="29"/>
      <c r="I576" s="29"/>
      <c r="J576" s="29"/>
      <c r="K576" s="31"/>
      <c r="L576" s="32"/>
      <c r="M576" s="29"/>
      <c r="N576" s="29"/>
      <c r="O576" s="29"/>
      <c r="P576" s="29"/>
      <c r="Q576" s="29"/>
      <c r="R576" s="29"/>
      <c r="S576" s="37"/>
      <c r="T576" s="29"/>
      <c r="U576" s="29"/>
    </row>
    <row r="577" spans="3:21" ht="16.5" customHeight="1">
      <c r="C577" s="29"/>
      <c r="D577" s="29"/>
      <c r="E577" s="29"/>
      <c r="H577" s="29"/>
      <c r="I577" s="29"/>
      <c r="J577" s="29"/>
      <c r="K577" s="31"/>
      <c r="L577" s="32"/>
      <c r="M577" s="29"/>
      <c r="N577" s="29"/>
      <c r="O577" s="29"/>
      <c r="P577" s="29"/>
      <c r="Q577" s="29"/>
      <c r="R577" s="29"/>
      <c r="S577" s="37"/>
      <c r="T577" s="29"/>
      <c r="U577" s="29"/>
    </row>
    <row r="578" spans="3:21" ht="16.5" customHeight="1">
      <c r="C578" s="29"/>
      <c r="D578" s="29"/>
      <c r="E578" s="29"/>
      <c r="H578" s="29"/>
      <c r="I578" s="29"/>
      <c r="J578" s="29"/>
      <c r="K578" s="31"/>
      <c r="L578" s="32"/>
      <c r="M578" s="29"/>
      <c r="N578" s="29"/>
      <c r="O578" s="29"/>
      <c r="P578" s="29"/>
      <c r="Q578" s="29"/>
      <c r="R578" s="29"/>
      <c r="S578" s="37"/>
      <c r="T578" s="29"/>
      <c r="U578" s="29"/>
    </row>
    <row r="579" spans="3:21" ht="16.5" customHeight="1">
      <c r="C579" s="29"/>
      <c r="D579" s="29"/>
      <c r="E579" s="29"/>
      <c r="H579" s="29"/>
      <c r="I579" s="29"/>
      <c r="J579" s="29"/>
      <c r="K579" s="31"/>
      <c r="L579" s="32"/>
      <c r="M579" s="29"/>
      <c r="N579" s="29"/>
      <c r="O579" s="29"/>
      <c r="P579" s="29"/>
      <c r="Q579" s="29"/>
      <c r="R579" s="29"/>
      <c r="S579" s="37"/>
      <c r="T579" s="29"/>
      <c r="U579" s="29"/>
    </row>
    <row r="580" spans="3:21" ht="16.5" customHeight="1">
      <c r="C580" s="29"/>
      <c r="D580" s="29"/>
      <c r="E580" s="29"/>
      <c r="H580" s="29"/>
      <c r="I580" s="29"/>
      <c r="J580" s="29"/>
      <c r="K580" s="31"/>
      <c r="L580" s="32"/>
      <c r="M580" s="29"/>
      <c r="N580" s="29"/>
      <c r="O580" s="29"/>
      <c r="P580" s="29"/>
      <c r="Q580" s="29"/>
      <c r="R580" s="29"/>
      <c r="S580" s="37"/>
      <c r="T580" s="29"/>
      <c r="U580" s="29"/>
    </row>
    <row r="581" spans="3:21" ht="16.5" customHeight="1">
      <c r="C581" s="29"/>
      <c r="D581" s="29"/>
      <c r="E581" s="29"/>
      <c r="H581" s="29"/>
      <c r="I581" s="29"/>
      <c r="J581" s="29"/>
      <c r="K581" s="31"/>
      <c r="L581" s="32"/>
      <c r="M581" s="29"/>
      <c r="N581" s="29"/>
      <c r="O581" s="29"/>
      <c r="P581" s="29"/>
      <c r="Q581" s="29"/>
      <c r="R581" s="29"/>
      <c r="S581" s="37"/>
      <c r="T581" s="29"/>
      <c r="U581" s="29"/>
    </row>
    <row r="582" spans="3:21" ht="16.5" customHeight="1">
      <c r="C582" s="29"/>
      <c r="D582" s="29"/>
      <c r="E582" s="29"/>
      <c r="H582" s="29"/>
      <c r="I582" s="29"/>
      <c r="J582" s="29"/>
      <c r="K582" s="31"/>
      <c r="L582" s="32"/>
      <c r="M582" s="29"/>
      <c r="N582" s="29"/>
      <c r="O582" s="29"/>
      <c r="P582" s="29"/>
      <c r="Q582" s="29"/>
      <c r="R582" s="29"/>
      <c r="S582" s="37"/>
      <c r="T582" s="29"/>
      <c r="U582" s="29"/>
    </row>
    <row r="583" spans="3:21" ht="16.5" customHeight="1">
      <c r="C583" s="29"/>
      <c r="D583" s="29"/>
      <c r="E583" s="29"/>
      <c r="H583" s="29"/>
      <c r="I583" s="29"/>
      <c r="J583" s="29"/>
      <c r="K583" s="31"/>
      <c r="L583" s="32"/>
      <c r="M583" s="29"/>
      <c r="N583" s="29"/>
      <c r="O583" s="29"/>
      <c r="P583" s="29"/>
      <c r="Q583" s="29"/>
      <c r="R583" s="29"/>
      <c r="S583" s="37"/>
      <c r="T583" s="29"/>
      <c r="U583" s="29"/>
    </row>
    <row r="584" spans="3:21" ht="16.5" customHeight="1">
      <c r="C584" s="29"/>
      <c r="D584" s="29"/>
      <c r="E584" s="29"/>
      <c r="H584" s="29"/>
      <c r="I584" s="29"/>
      <c r="J584" s="29"/>
      <c r="K584" s="31"/>
      <c r="L584" s="32"/>
      <c r="M584" s="29"/>
      <c r="N584" s="29"/>
      <c r="O584" s="29"/>
      <c r="P584" s="29"/>
      <c r="Q584" s="29"/>
      <c r="R584" s="29"/>
      <c r="S584" s="37"/>
      <c r="T584" s="29"/>
      <c r="U584" s="29"/>
    </row>
    <row r="585" spans="3:21" ht="16.5" customHeight="1">
      <c r="C585" s="29"/>
      <c r="D585" s="29"/>
      <c r="E585" s="29"/>
      <c r="H585" s="29"/>
      <c r="I585" s="29"/>
      <c r="J585" s="29"/>
      <c r="K585" s="31"/>
      <c r="L585" s="32"/>
      <c r="M585" s="29"/>
      <c r="N585" s="29"/>
      <c r="O585" s="29"/>
      <c r="P585" s="29"/>
      <c r="Q585" s="29"/>
      <c r="R585" s="29"/>
      <c r="S585" s="37"/>
      <c r="T585" s="29"/>
      <c r="U585" s="29"/>
    </row>
    <row r="586" spans="3:21" ht="16.5" customHeight="1">
      <c r="C586" s="29"/>
      <c r="D586" s="29"/>
      <c r="E586" s="29"/>
      <c r="H586" s="29"/>
      <c r="I586" s="29"/>
      <c r="J586" s="29"/>
      <c r="K586" s="31"/>
      <c r="L586" s="32"/>
      <c r="M586" s="29"/>
      <c r="N586" s="29"/>
      <c r="O586" s="29"/>
      <c r="P586" s="29"/>
      <c r="Q586" s="29"/>
      <c r="R586" s="29"/>
      <c r="S586" s="37"/>
      <c r="T586" s="29"/>
      <c r="U586" s="29"/>
    </row>
    <row r="587" spans="3:21" ht="16.5" customHeight="1">
      <c r="C587" s="29"/>
      <c r="D587" s="29"/>
      <c r="E587" s="29"/>
      <c r="H587" s="29"/>
      <c r="I587" s="29"/>
      <c r="J587" s="29"/>
      <c r="K587" s="31"/>
      <c r="L587" s="32"/>
      <c r="M587" s="29"/>
      <c r="N587" s="29"/>
      <c r="O587" s="29"/>
      <c r="P587" s="29"/>
      <c r="Q587" s="29"/>
      <c r="R587" s="29"/>
      <c r="S587" s="37"/>
      <c r="T587" s="29"/>
      <c r="U587" s="29"/>
    </row>
    <row r="588" spans="3:21" ht="16.5" customHeight="1">
      <c r="C588" s="29"/>
      <c r="D588" s="29"/>
      <c r="E588" s="29"/>
      <c r="H588" s="29"/>
      <c r="I588" s="29"/>
      <c r="J588" s="29"/>
      <c r="K588" s="31"/>
      <c r="L588" s="32"/>
      <c r="M588" s="29"/>
      <c r="N588" s="29"/>
      <c r="O588" s="29"/>
      <c r="P588" s="29"/>
      <c r="Q588" s="29"/>
      <c r="R588" s="29"/>
      <c r="S588" s="37"/>
      <c r="T588" s="29"/>
      <c r="U588" s="29"/>
    </row>
    <row r="589" spans="3:21" ht="16.5" customHeight="1">
      <c r="C589" s="29"/>
      <c r="D589" s="29"/>
      <c r="E589" s="29"/>
      <c r="H589" s="29"/>
      <c r="I589" s="29"/>
      <c r="J589" s="29"/>
      <c r="K589" s="31"/>
      <c r="L589" s="32"/>
      <c r="M589" s="29"/>
      <c r="N589" s="29"/>
      <c r="O589" s="29"/>
      <c r="P589" s="29"/>
      <c r="Q589" s="29"/>
      <c r="R589" s="29"/>
      <c r="S589" s="37"/>
      <c r="T589" s="29"/>
      <c r="U589" s="29"/>
    </row>
    <row r="590" spans="3:21" ht="16.5" customHeight="1">
      <c r="C590" s="29"/>
      <c r="D590" s="29"/>
      <c r="E590" s="29"/>
      <c r="H590" s="29"/>
      <c r="I590" s="29"/>
      <c r="J590" s="29"/>
      <c r="K590" s="31"/>
      <c r="L590" s="32"/>
      <c r="M590" s="29"/>
      <c r="N590" s="29"/>
      <c r="O590" s="29"/>
      <c r="P590" s="29"/>
      <c r="Q590" s="29"/>
      <c r="R590" s="29"/>
      <c r="S590" s="37"/>
      <c r="T590" s="29"/>
      <c r="U590" s="29"/>
    </row>
    <row r="591" spans="3:21" ht="16.5" customHeight="1">
      <c r="C591" s="29"/>
      <c r="D591" s="29"/>
      <c r="E591" s="29"/>
      <c r="H591" s="29"/>
      <c r="I591" s="29"/>
      <c r="J591" s="29"/>
      <c r="K591" s="31"/>
      <c r="L591" s="32"/>
      <c r="M591" s="29"/>
      <c r="N591" s="29"/>
      <c r="O591" s="29"/>
      <c r="P591" s="29"/>
      <c r="Q591" s="29"/>
      <c r="R591" s="29"/>
      <c r="S591" s="37"/>
      <c r="T591" s="29"/>
      <c r="U591" s="29"/>
    </row>
    <row r="592" spans="3:21" ht="16.5" customHeight="1">
      <c r="C592" s="29"/>
      <c r="D592" s="29"/>
      <c r="E592" s="29"/>
      <c r="H592" s="29"/>
      <c r="I592" s="29"/>
      <c r="J592" s="29"/>
      <c r="K592" s="31"/>
      <c r="L592" s="32"/>
      <c r="M592" s="29"/>
      <c r="N592" s="29"/>
      <c r="O592" s="29"/>
      <c r="P592" s="29"/>
      <c r="Q592" s="29"/>
      <c r="R592" s="29"/>
      <c r="S592" s="37"/>
      <c r="T592" s="29"/>
      <c r="U592" s="29"/>
    </row>
    <row r="593" spans="3:21" ht="16.5" customHeight="1">
      <c r="C593" s="29"/>
      <c r="D593" s="29"/>
      <c r="E593" s="29"/>
      <c r="H593" s="29"/>
      <c r="I593" s="29"/>
      <c r="J593" s="29"/>
      <c r="K593" s="31"/>
      <c r="L593" s="32"/>
      <c r="M593" s="29"/>
      <c r="N593" s="29"/>
      <c r="O593" s="29"/>
      <c r="P593" s="29"/>
      <c r="Q593" s="29"/>
      <c r="R593" s="29"/>
      <c r="S593" s="37"/>
      <c r="T593" s="29"/>
      <c r="U593" s="29"/>
    </row>
    <row r="594" spans="3:21" ht="16.5" customHeight="1">
      <c r="C594" s="29"/>
      <c r="D594" s="29"/>
      <c r="E594" s="29"/>
      <c r="H594" s="29"/>
      <c r="I594" s="29"/>
      <c r="J594" s="29"/>
      <c r="K594" s="31"/>
      <c r="L594" s="32"/>
      <c r="M594" s="29"/>
      <c r="N594" s="29"/>
      <c r="O594" s="29"/>
      <c r="P594" s="29"/>
      <c r="Q594" s="29"/>
      <c r="R594" s="29"/>
      <c r="S594" s="37"/>
      <c r="T594" s="29"/>
      <c r="U594" s="29"/>
    </row>
    <row r="595" spans="3:21" ht="16.5" customHeight="1">
      <c r="C595" s="29"/>
      <c r="D595" s="29"/>
      <c r="E595" s="29"/>
      <c r="H595" s="29"/>
      <c r="I595" s="29"/>
      <c r="J595" s="29"/>
      <c r="K595" s="31"/>
      <c r="L595" s="32"/>
      <c r="M595" s="29"/>
      <c r="N595" s="29"/>
      <c r="O595" s="29"/>
      <c r="P595" s="29"/>
      <c r="Q595" s="29"/>
      <c r="R595" s="29"/>
      <c r="S595" s="37"/>
      <c r="T595" s="29"/>
      <c r="U595" s="29"/>
    </row>
    <row r="596" spans="3:21" ht="16.5" customHeight="1">
      <c r="C596" s="29"/>
      <c r="D596" s="29"/>
      <c r="E596" s="29"/>
      <c r="H596" s="29"/>
      <c r="I596" s="29"/>
      <c r="J596" s="29"/>
      <c r="K596" s="31"/>
      <c r="L596" s="32"/>
      <c r="M596" s="29"/>
      <c r="N596" s="29"/>
      <c r="O596" s="29"/>
      <c r="P596" s="29"/>
      <c r="Q596" s="29"/>
      <c r="R596" s="29"/>
      <c r="S596" s="37"/>
      <c r="T596" s="29"/>
      <c r="U596" s="29"/>
    </row>
    <row r="597" spans="3:21" ht="16.5" customHeight="1">
      <c r="C597" s="29"/>
      <c r="D597" s="29"/>
      <c r="E597" s="29"/>
      <c r="H597" s="29"/>
      <c r="I597" s="29"/>
      <c r="J597" s="29"/>
      <c r="K597" s="31"/>
      <c r="L597" s="32"/>
      <c r="M597" s="29"/>
      <c r="N597" s="29"/>
      <c r="O597" s="29"/>
      <c r="P597" s="29"/>
      <c r="Q597" s="29"/>
      <c r="R597" s="29"/>
      <c r="S597" s="37"/>
      <c r="T597" s="29"/>
      <c r="U597" s="29"/>
    </row>
    <row r="598" spans="3:21" ht="16.5" customHeight="1">
      <c r="C598" s="29"/>
      <c r="D598" s="29"/>
      <c r="E598" s="29"/>
      <c r="H598" s="29"/>
      <c r="I598" s="29"/>
      <c r="J598" s="29"/>
      <c r="K598" s="31"/>
      <c r="L598" s="32"/>
      <c r="M598" s="29"/>
      <c r="N598" s="29"/>
      <c r="O598" s="29"/>
      <c r="P598" s="29"/>
      <c r="Q598" s="29"/>
      <c r="R598" s="29"/>
      <c r="S598" s="37"/>
      <c r="T598" s="29"/>
      <c r="U598" s="29"/>
    </row>
    <row r="599" spans="3:21" ht="16.5" customHeight="1">
      <c r="C599" s="29"/>
      <c r="D599" s="29"/>
      <c r="E599" s="29"/>
      <c r="H599" s="29"/>
      <c r="I599" s="29"/>
      <c r="J599" s="29"/>
      <c r="K599" s="31"/>
      <c r="L599" s="32"/>
      <c r="M599" s="29"/>
      <c r="N599" s="29"/>
      <c r="O599" s="29"/>
      <c r="P599" s="29"/>
      <c r="Q599" s="29"/>
      <c r="R599" s="29"/>
      <c r="S599" s="37"/>
      <c r="T599" s="29"/>
      <c r="U599" s="29"/>
    </row>
    <row r="600" spans="3:21" ht="16.5" customHeight="1">
      <c r="C600" s="29"/>
      <c r="D600" s="29"/>
      <c r="E600" s="29"/>
      <c r="H600" s="29"/>
      <c r="I600" s="29"/>
      <c r="J600" s="29"/>
      <c r="K600" s="31"/>
      <c r="L600" s="32"/>
      <c r="M600" s="29"/>
      <c r="N600" s="29"/>
      <c r="O600" s="29"/>
      <c r="P600" s="29"/>
      <c r="Q600" s="29"/>
      <c r="R600" s="29"/>
      <c r="S600" s="37"/>
      <c r="T600" s="29"/>
      <c r="U600" s="29"/>
    </row>
    <row r="601" spans="3:21" ht="16.5" customHeight="1">
      <c r="C601" s="29"/>
      <c r="D601" s="29"/>
      <c r="E601" s="29"/>
      <c r="H601" s="29"/>
      <c r="I601" s="29"/>
      <c r="J601" s="29"/>
      <c r="K601" s="31"/>
      <c r="L601" s="32"/>
      <c r="M601" s="29"/>
      <c r="N601" s="29"/>
      <c r="O601" s="29"/>
      <c r="P601" s="29"/>
      <c r="Q601" s="29"/>
      <c r="R601" s="29"/>
      <c r="S601" s="37"/>
      <c r="T601" s="29"/>
      <c r="U601" s="29"/>
    </row>
    <row r="602" spans="3:21" ht="16.5" customHeight="1">
      <c r="C602" s="29"/>
      <c r="D602" s="29"/>
      <c r="E602" s="29"/>
      <c r="H602" s="29"/>
      <c r="I602" s="29"/>
      <c r="J602" s="29"/>
      <c r="K602" s="31"/>
      <c r="L602" s="32"/>
      <c r="M602" s="29"/>
      <c r="N602" s="29"/>
      <c r="O602" s="29"/>
      <c r="P602" s="29"/>
      <c r="Q602" s="29"/>
      <c r="R602" s="29"/>
      <c r="S602" s="37"/>
      <c r="T602" s="29"/>
      <c r="U602" s="29"/>
    </row>
    <row r="603" spans="3:21" ht="16.5" customHeight="1">
      <c r="C603" s="29"/>
      <c r="D603" s="29"/>
      <c r="E603" s="29"/>
      <c r="H603" s="29"/>
      <c r="I603" s="29"/>
      <c r="J603" s="29"/>
      <c r="K603" s="31"/>
      <c r="L603" s="32"/>
      <c r="M603" s="29"/>
      <c r="N603" s="29"/>
      <c r="O603" s="29"/>
      <c r="P603" s="29"/>
      <c r="Q603" s="29"/>
      <c r="R603" s="29"/>
      <c r="S603" s="37"/>
      <c r="T603" s="29"/>
      <c r="U603" s="29"/>
    </row>
    <row r="604" spans="3:21" ht="16.5" customHeight="1">
      <c r="C604" s="29"/>
      <c r="D604" s="29"/>
      <c r="E604" s="29"/>
      <c r="H604" s="29"/>
      <c r="I604" s="29"/>
      <c r="J604" s="29"/>
      <c r="K604" s="31"/>
      <c r="L604" s="32"/>
      <c r="M604" s="29"/>
      <c r="N604" s="29"/>
      <c r="O604" s="29"/>
      <c r="P604" s="29"/>
      <c r="Q604" s="29"/>
      <c r="R604" s="29"/>
      <c r="S604" s="37"/>
      <c r="T604" s="29"/>
      <c r="U604" s="29"/>
    </row>
    <row r="605" spans="3:21" ht="16.5" customHeight="1">
      <c r="C605" s="29"/>
      <c r="D605" s="29"/>
      <c r="E605" s="29"/>
      <c r="H605" s="29"/>
      <c r="I605" s="29"/>
      <c r="J605" s="29"/>
      <c r="K605" s="31"/>
      <c r="L605" s="32"/>
      <c r="M605" s="29"/>
      <c r="N605" s="29"/>
      <c r="O605" s="29"/>
      <c r="P605" s="29"/>
      <c r="Q605" s="29"/>
      <c r="R605" s="29"/>
      <c r="S605" s="37"/>
      <c r="T605" s="29"/>
      <c r="U605" s="29"/>
    </row>
    <row r="606" spans="3:21" ht="16.5" customHeight="1">
      <c r="C606" s="29"/>
      <c r="D606" s="29"/>
      <c r="E606" s="29"/>
      <c r="H606" s="29"/>
      <c r="I606" s="29"/>
      <c r="J606" s="29"/>
      <c r="K606" s="31"/>
      <c r="L606" s="32"/>
      <c r="M606" s="29"/>
      <c r="N606" s="29"/>
      <c r="O606" s="29"/>
      <c r="P606" s="29"/>
      <c r="Q606" s="29"/>
      <c r="R606" s="29"/>
      <c r="S606" s="37"/>
      <c r="T606" s="29"/>
      <c r="U606" s="29"/>
    </row>
    <row r="607" spans="3:21" ht="16.5" customHeight="1">
      <c r="C607" s="29"/>
      <c r="D607" s="29"/>
      <c r="E607" s="29"/>
      <c r="H607" s="29"/>
      <c r="I607" s="29"/>
      <c r="J607" s="29"/>
      <c r="K607" s="31"/>
      <c r="L607" s="32"/>
      <c r="M607" s="29"/>
      <c r="N607" s="29"/>
      <c r="O607" s="29"/>
      <c r="P607" s="29"/>
      <c r="Q607" s="29"/>
      <c r="R607" s="29"/>
      <c r="S607" s="37"/>
      <c r="T607" s="29"/>
      <c r="U607" s="29"/>
    </row>
    <row r="608" spans="3:21" ht="16.5" customHeight="1">
      <c r="C608" s="29"/>
      <c r="D608" s="29"/>
      <c r="E608" s="29"/>
      <c r="H608" s="29"/>
      <c r="I608" s="29"/>
      <c r="J608" s="29"/>
      <c r="K608" s="31"/>
      <c r="L608" s="32"/>
      <c r="M608" s="29"/>
      <c r="N608" s="29"/>
      <c r="O608" s="29"/>
      <c r="P608" s="29"/>
      <c r="Q608" s="29"/>
      <c r="R608" s="29"/>
      <c r="S608" s="37"/>
      <c r="T608" s="29"/>
      <c r="U608" s="29"/>
    </row>
    <row r="609" spans="3:21" ht="16.5" customHeight="1">
      <c r="C609" s="29"/>
      <c r="D609" s="29"/>
      <c r="E609" s="29"/>
      <c r="H609" s="29"/>
      <c r="I609" s="29"/>
      <c r="J609" s="29"/>
      <c r="K609" s="31"/>
      <c r="L609" s="32"/>
      <c r="M609" s="29"/>
      <c r="N609" s="29"/>
      <c r="O609" s="29"/>
      <c r="P609" s="29"/>
      <c r="Q609" s="29"/>
      <c r="R609" s="29"/>
      <c r="S609" s="37"/>
      <c r="T609" s="29"/>
      <c r="U609" s="29"/>
    </row>
    <row r="610" spans="3:21" ht="16.5" customHeight="1">
      <c r="C610" s="29"/>
      <c r="D610" s="29"/>
      <c r="E610" s="29"/>
      <c r="H610" s="29"/>
      <c r="I610" s="29"/>
      <c r="J610" s="29"/>
      <c r="K610" s="31"/>
      <c r="L610" s="32"/>
      <c r="M610" s="29"/>
      <c r="N610" s="29"/>
      <c r="O610" s="29"/>
      <c r="P610" s="29"/>
      <c r="Q610" s="29"/>
      <c r="R610" s="29"/>
      <c r="S610" s="37"/>
      <c r="T610" s="29"/>
      <c r="U610" s="29"/>
    </row>
    <row r="611" spans="3:21" ht="16.5" customHeight="1">
      <c r="C611" s="29"/>
      <c r="D611" s="29"/>
      <c r="E611" s="29"/>
      <c r="H611" s="29"/>
      <c r="I611" s="29"/>
      <c r="J611" s="29"/>
      <c r="K611" s="31"/>
      <c r="L611" s="32"/>
      <c r="M611" s="29"/>
      <c r="N611" s="29"/>
      <c r="O611" s="29"/>
      <c r="P611" s="29"/>
      <c r="Q611" s="29"/>
      <c r="R611" s="29"/>
      <c r="S611" s="37"/>
      <c r="T611" s="29"/>
      <c r="U611" s="29"/>
    </row>
    <row r="612" spans="3:21" ht="16.5" customHeight="1">
      <c r="C612" s="29"/>
      <c r="D612" s="29"/>
      <c r="E612" s="29"/>
      <c r="H612" s="29"/>
      <c r="I612" s="29"/>
      <c r="J612" s="29"/>
      <c r="K612" s="31"/>
      <c r="L612" s="32"/>
      <c r="M612" s="29"/>
      <c r="N612" s="29"/>
      <c r="O612" s="29"/>
      <c r="P612" s="29"/>
      <c r="Q612" s="29"/>
      <c r="R612" s="29"/>
      <c r="S612" s="37"/>
      <c r="T612" s="29"/>
      <c r="U612" s="29"/>
    </row>
    <row r="613" spans="3:21" ht="16.5" customHeight="1">
      <c r="C613" s="29"/>
      <c r="D613" s="29"/>
      <c r="E613" s="29"/>
      <c r="H613" s="29"/>
      <c r="I613" s="29"/>
      <c r="J613" s="29"/>
      <c r="K613" s="31"/>
      <c r="L613" s="32"/>
      <c r="M613" s="29"/>
      <c r="N613" s="29"/>
      <c r="O613" s="29"/>
      <c r="P613" s="29"/>
      <c r="Q613" s="29"/>
      <c r="R613" s="29"/>
      <c r="S613" s="37"/>
      <c r="T613" s="29"/>
      <c r="U613" s="29"/>
    </row>
    <row r="614" spans="3:21" ht="16.5" customHeight="1">
      <c r="C614" s="29"/>
      <c r="D614" s="29"/>
      <c r="E614" s="29"/>
      <c r="H614" s="29"/>
      <c r="I614" s="29"/>
      <c r="J614" s="29"/>
      <c r="K614" s="31"/>
      <c r="L614" s="32"/>
      <c r="M614" s="29"/>
      <c r="N614" s="29"/>
      <c r="O614" s="29"/>
      <c r="P614" s="29"/>
      <c r="Q614" s="29"/>
      <c r="R614" s="29"/>
      <c r="S614" s="37"/>
      <c r="T614" s="29"/>
      <c r="U614" s="29"/>
    </row>
    <row r="615" spans="3:21" ht="16.5" customHeight="1">
      <c r="C615" s="29"/>
      <c r="D615" s="29"/>
      <c r="E615" s="29"/>
      <c r="H615" s="29"/>
      <c r="I615" s="29"/>
      <c r="J615" s="29"/>
      <c r="K615" s="31"/>
      <c r="L615" s="32"/>
      <c r="M615" s="29"/>
      <c r="N615" s="29"/>
      <c r="O615" s="29"/>
      <c r="P615" s="29"/>
      <c r="Q615" s="29"/>
      <c r="R615" s="29"/>
      <c r="S615" s="37"/>
      <c r="T615" s="29"/>
      <c r="U615" s="29"/>
    </row>
    <row r="616" spans="3:21" ht="16.5" customHeight="1">
      <c r="C616" s="29"/>
      <c r="D616" s="29"/>
      <c r="E616" s="29"/>
      <c r="H616" s="29"/>
      <c r="I616" s="29"/>
      <c r="J616" s="29"/>
      <c r="K616" s="31"/>
      <c r="L616" s="32"/>
      <c r="M616" s="29"/>
      <c r="N616" s="29"/>
      <c r="O616" s="29"/>
      <c r="P616" s="29"/>
      <c r="Q616" s="29"/>
      <c r="R616" s="29"/>
      <c r="S616" s="37"/>
      <c r="T616" s="29"/>
      <c r="U616" s="29"/>
    </row>
    <row r="617" spans="3:21" ht="16.5" customHeight="1">
      <c r="C617" s="29"/>
      <c r="D617" s="29"/>
      <c r="E617" s="29"/>
      <c r="H617" s="29"/>
      <c r="I617" s="29"/>
      <c r="J617" s="29"/>
      <c r="K617" s="31"/>
      <c r="L617" s="32"/>
      <c r="M617" s="29"/>
      <c r="N617" s="29"/>
      <c r="O617" s="29"/>
      <c r="P617" s="29"/>
      <c r="Q617" s="29"/>
      <c r="R617" s="29"/>
      <c r="S617" s="37"/>
      <c r="T617" s="29"/>
      <c r="U617" s="29"/>
    </row>
    <row r="618" spans="3:21" ht="16.5" customHeight="1">
      <c r="C618" s="29"/>
      <c r="D618" s="29"/>
      <c r="E618" s="29"/>
      <c r="H618" s="29"/>
      <c r="I618" s="29"/>
      <c r="J618" s="29"/>
      <c r="K618" s="31"/>
      <c r="L618" s="32"/>
      <c r="M618" s="29"/>
      <c r="N618" s="29"/>
      <c r="O618" s="29"/>
      <c r="P618" s="29"/>
      <c r="Q618" s="29"/>
      <c r="R618" s="29"/>
      <c r="S618" s="37"/>
      <c r="T618" s="29"/>
      <c r="U618" s="29"/>
    </row>
    <row r="619" spans="3:21" ht="16.5" customHeight="1">
      <c r="C619" s="29"/>
      <c r="D619" s="29"/>
      <c r="E619" s="29"/>
      <c r="H619" s="29"/>
      <c r="I619" s="29"/>
      <c r="J619" s="29"/>
      <c r="K619" s="31"/>
      <c r="L619" s="32"/>
      <c r="M619" s="29"/>
      <c r="N619" s="29"/>
      <c r="O619" s="29"/>
      <c r="P619" s="29"/>
      <c r="Q619" s="29"/>
      <c r="R619" s="29"/>
      <c r="S619" s="37"/>
      <c r="T619" s="29"/>
      <c r="U619" s="29"/>
    </row>
    <row r="620" spans="3:21" ht="16.5" customHeight="1">
      <c r="C620" s="29"/>
      <c r="D620" s="29"/>
      <c r="E620" s="29"/>
      <c r="H620" s="29"/>
      <c r="I620" s="29"/>
      <c r="J620" s="29"/>
      <c r="K620" s="31"/>
      <c r="L620" s="32"/>
      <c r="M620" s="29"/>
      <c r="N620" s="29"/>
      <c r="O620" s="29"/>
      <c r="P620" s="29"/>
      <c r="Q620" s="29"/>
      <c r="R620" s="29"/>
      <c r="S620" s="37"/>
      <c r="T620" s="29"/>
      <c r="U620" s="29"/>
    </row>
    <row r="621" spans="3:21" ht="16.5" customHeight="1">
      <c r="C621" s="29"/>
      <c r="D621" s="29"/>
      <c r="E621" s="29"/>
      <c r="H621" s="29"/>
      <c r="I621" s="29"/>
      <c r="J621" s="29"/>
      <c r="K621" s="31"/>
      <c r="L621" s="32"/>
      <c r="M621" s="29"/>
      <c r="N621" s="29"/>
      <c r="O621" s="29"/>
      <c r="P621" s="29"/>
      <c r="Q621" s="29"/>
      <c r="R621" s="29"/>
      <c r="S621" s="37"/>
      <c r="T621" s="29"/>
      <c r="U621" s="29"/>
    </row>
    <row r="622" spans="3:21" ht="16.5" customHeight="1">
      <c r="C622" s="29"/>
      <c r="D622" s="29"/>
      <c r="E622" s="29"/>
      <c r="H622" s="29"/>
      <c r="I622" s="29"/>
      <c r="J622" s="29"/>
      <c r="K622" s="31"/>
      <c r="L622" s="32"/>
      <c r="M622" s="29"/>
      <c r="N622" s="29"/>
      <c r="O622" s="29"/>
      <c r="P622" s="29"/>
      <c r="Q622" s="29"/>
      <c r="R622" s="29"/>
      <c r="S622" s="37"/>
      <c r="T622" s="29"/>
      <c r="U622" s="29"/>
    </row>
    <row r="623" spans="3:21" ht="16.5" customHeight="1">
      <c r="C623" s="29"/>
      <c r="D623" s="29"/>
      <c r="E623" s="29"/>
      <c r="H623" s="29"/>
      <c r="I623" s="29"/>
      <c r="J623" s="29"/>
      <c r="K623" s="31"/>
      <c r="L623" s="32"/>
      <c r="M623" s="29"/>
      <c r="N623" s="29"/>
      <c r="O623" s="29"/>
      <c r="P623" s="29"/>
      <c r="Q623" s="29"/>
      <c r="R623" s="29"/>
      <c r="S623" s="37"/>
      <c r="T623" s="29"/>
      <c r="U623" s="29"/>
    </row>
    <row r="624" spans="3:21" ht="16.5" customHeight="1">
      <c r="C624" s="29"/>
      <c r="D624" s="29"/>
      <c r="E624" s="29"/>
      <c r="H624" s="29"/>
      <c r="I624" s="29"/>
      <c r="J624" s="29"/>
      <c r="K624" s="31"/>
      <c r="L624" s="32"/>
      <c r="M624" s="29"/>
      <c r="N624" s="29"/>
      <c r="O624" s="29"/>
      <c r="P624" s="29"/>
      <c r="Q624" s="29"/>
      <c r="R624" s="29"/>
      <c r="S624" s="37"/>
      <c r="T624" s="29"/>
      <c r="U624" s="29"/>
    </row>
    <row r="625" spans="3:21" ht="16.5" customHeight="1">
      <c r="C625" s="29"/>
      <c r="D625" s="29"/>
      <c r="E625" s="29"/>
      <c r="H625" s="29"/>
      <c r="I625" s="29"/>
      <c r="J625" s="29"/>
      <c r="K625" s="31"/>
      <c r="L625" s="32"/>
      <c r="M625" s="29"/>
      <c r="N625" s="29"/>
      <c r="O625" s="29"/>
      <c r="P625" s="29"/>
      <c r="Q625" s="29"/>
      <c r="R625" s="29"/>
      <c r="S625" s="37"/>
      <c r="T625" s="29"/>
      <c r="U625" s="29"/>
    </row>
    <row r="626" spans="3:21" ht="16.5" customHeight="1">
      <c r="C626" s="29"/>
      <c r="D626" s="29"/>
      <c r="E626" s="29"/>
      <c r="H626" s="29"/>
      <c r="I626" s="29"/>
      <c r="J626" s="29"/>
      <c r="K626" s="31"/>
      <c r="L626" s="32"/>
      <c r="M626" s="29"/>
      <c r="N626" s="29"/>
      <c r="O626" s="29"/>
      <c r="P626" s="29"/>
      <c r="Q626" s="29"/>
      <c r="R626" s="29"/>
      <c r="S626" s="37"/>
      <c r="T626" s="29"/>
      <c r="U626" s="29"/>
    </row>
    <row r="627" spans="3:21" ht="16.5" customHeight="1">
      <c r="C627" s="29"/>
      <c r="D627" s="29"/>
      <c r="E627" s="29"/>
      <c r="H627" s="29"/>
      <c r="I627" s="29"/>
      <c r="J627" s="29"/>
      <c r="K627" s="31"/>
      <c r="L627" s="32"/>
      <c r="M627" s="29"/>
      <c r="N627" s="29"/>
      <c r="O627" s="29"/>
      <c r="P627" s="29"/>
      <c r="Q627" s="29"/>
      <c r="R627" s="29"/>
      <c r="S627" s="37"/>
      <c r="T627" s="29"/>
      <c r="U627" s="29"/>
    </row>
    <row r="628" spans="3:21" ht="16.5" customHeight="1">
      <c r="C628" s="29"/>
      <c r="D628" s="29"/>
      <c r="E628" s="29"/>
      <c r="H628" s="29"/>
      <c r="I628" s="29"/>
      <c r="J628" s="29"/>
      <c r="K628" s="31"/>
      <c r="L628" s="32"/>
      <c r="M628" s="29"/>
      <c r="N628" s="29"/>
      <c r="O628" s="29"/>
      <c r="P628" s="29"/>
      <c r="Q628" s="29"/>
      <c r="R628" s="29"/>
      <c r="S628" s="37"/>
      <c r="T628" s="29"/>
      <c r="U628" s="29"/>
    </row>
    <row r="629" spans="3:21" ht="16.5" customHeight="1">
      <c r="C629" s="29"/>
      <c r="D629" s="29"/>
      <c r="E629" s="29"/>
      <c r="H629" s="29"/>
      <c r="I629" s="29"/>
      <c r="J629" s="29"/>
      <c r="K629" s="31"/>
      <c r="L629" s="32"/>
      <c r="M629" s="29"/>
      <c r="N629" s="29"/>
      <c r="O629" s="29"/>
      <c r="P629" s="29"/>
      <c r="Q629" s="29"/>
      <c r="R629" s="29"/>
      <c r="S629" s="37"/>
      <c r="T629" s="29"/>
      <c r="U629" s="29"/>
    </row>
    <row r="630" spans="3:21" ht="16.5" customHeight="1">
      <c r="C630" s="29"/>
      <c r="D630" s="29"/>
      <c r="E630" s="29"/>
      <c r="H630" s="29"/>
      <c r="I630" s="29"/>
      <c r="J630" s="29"/>
      <c r="K630" s="31"/>
      <c r="L630" s="32"/>
      <c r="M630" s="29"/>
      <c r="N630" s="29"/>
      <c r="O630" s="29"/>
      <c r="P630" s="29"/>
      <c r="Q630" s="29"/>
      <c r="R630" s="29"/>
      <c r="S630" s="37"/>
      <c r="T630" s="29"/>
      <c r="U630" s="29"/>
    </row>
    <row r="631" spans="3:21" ht="16.5" customHeight="1">
      <c r="C631" s="29"/>
      <c r="D631" s="29"/>
      <c r="E631" s="29"/>
      <c r="H631" s="29"/>
      <c r="I631" s="29"/>
      <c r="J631" s="29"/>
      <c r="K631" s="31"/>
      <c r="L631" s="32"/>
      <c r="M631" s="29"/>
      <c r="N631" s="29"/>
      <c r="O631" s="29"/>
      <c r="P631" s="29"/>
      <c r="Q631" s="29"/>
      <c r="R631" s="29"/>
      <c r="S631" s="37"/>
      <c r="T631" s="29"/>
      <c r="U631" s="29"/>
    </row>
    <row r="632" spans="3:21" ht="16.5" customHeight="1">
      <c r="C632" s="29"/>
      <c r="D632" s="29"/>
      <c r="E632" s="29"/>
      <c r="H632" s="29"/>
      <c r="I632" s="29"/>
      <c r="J632" s="29"/>
      <c r="K632" s="31"/>
      <c r="L632" s="32"/>
      <c r="M632" s="29"/>
      <c r="N632" s="29"/>
      <c r="O632" s="29"/>
      <c r="P632" s="29"/>
      <c r="Q632" s="29"/>
      <c r="R632" s="29"/>
      <c r="S632" s="37"/>
      <c r="T632" s="29"/>
      <c r="U632" s="29"/>
    </row>
    <row r="633" spans="3:21" ht="16.5" customHeight="1">
      <c r="C633" s="29"/>
      <c r="D633" s="29"/>
      <c r="E633" s="29"/>
      <c r="H633" s="29"/>
      <c r="I633" s="29"/>
      <c r="J633" s="29"/>
      <c r="K633" s="31"/>
      <c r="L633" s="32"/>
      <c r="M633" s="29"/>
      <c r="N633" s="29"/>
      <c r="O633" s="29"/>
      <c r="P633" s="29"/>
      <c r="Q633" s="29"/>
      <c r="R633" s="29"/>
      <c r="S633" s="37"/>
      <c r="T633" s="29"/>
      <c r="U633" s="29"/>
    </row>
    <row r="634" spans="3:21" ht="16.5" customHeight="1">
      <c r="C634" s="29"/>
      <c r="D634" s="29"/>
      <c r="E634" s="29"/>
      <c r="H634" s="29"/>
      <c r="I634" s="29"/>
      <c r="J634" s="29"/>
      <c r="K634" s="31"/>
      <c r="L634" s="32"/>
      <c r="M634" s="29"/>
      <c r="N634" s="29"/>
      <c r="O634" s="29"/>
      <c r="P634" s="29"/>
      <c r="Q634" s="29"/>
      <c r="R634" s="29"/>
      <c r="S634" s="37"/>
      <c r="T634" s="29"/>
      <c r="U634" s="29"/>
    </row>
    <row r="635" spans="3:21" ht="16.5" customHeight="1">
      <c r="C635" s="29"/>
      <c r="D635" s="29"/>
      <c r="E635" s="29"/>
      <c r="H635" s="29"/>
      <c r="I635" s="29"/>
      <c r="J635" s="29"/>
      <c r="K635" s="31"/>
      <c r="L635" s="32"/>
      <c r="M635" s="29"/>
      <c r="N635" s="29"/>
      <c r="O635" s="29"/>
      <c r="P635" s="29"/>
      <c r="Q635" s="29"/>
      <c r="R635" s="29"/>
      <c r="S635" s="37"/>
      <c r="T635" s="29"/>
      <c r="U635" s="29"/>
    </row>
    <row r="636" spans="3:21" ht="16.5" customHeight="1">
      <c r="C636" s="29"/>
      <c r="D636" s="29"/>
      <c r="E636" s="29"/>
      <c r="H636" s="29"/>
      <c r="I636" s="29"/>
      <c r="J636" s="29"/>
      <c r="K636" s="31"/>
      <c r="L636" s="32"/>
      <c r="M636" s="29"/>
      <c r="N636" s="29"/>
      <c r="O636" s="29"/>
      <c r="P636" s="29"/>
      <c r="Q636" s="29"/>
      <c r="R636" s="29"/>
      <c r="S636" s="37"/>
      <c r="T636" s="29"/>
      <c r="U636" s="29"/>
    </row>
    <row r="637" spans="3:21" ht="16.5" customHeight="1">
      <c r="C637" s="29"/>
      <c r="D637" s="29"/>
      <c r="E637" s="29"/>
      <c r="H637" s="29"/>
      <c r="I637" s="29"/>
      <c r="J637" s="29"/>
      <c r="K637" s="31"/>
      <c r="L637" s="32"/>
      <c r="M637" s="29"/>
      <c r="N637" s="29"/>
      <c r="O637" s="29"/>
      <c r="P637" s="29"/>
      <c r="Q637" s="29"/>
      <c r="R637" s="29"/>
      <c r="S637" s="37"/>
      <c r="T637" s="29"/>
      <c r="U637" s="29"/>
    </row>
    <row r="638" spans="3:21" ht="16.5" customHeight="1">
      <c r="C638" s="29"/>
      <c r="D638" s="29"/>
      <c r="E638" s="29"/>
      <c r="H638" s="29"/>
      <c r="I638" s="29"/>
      <c r="J638" s="29"/>
      <c r="K638" s="31"/>
      <c r="L638" s="32"/>
      <c r="M638" s="29"/>
      <c r="N638" s="29"/>
      <c r="O638" s="29"/>
      <c r="P638" s="29"/>
      <c r="Q638" s="29"/>
      <c r="R638" s="29"/>
      <c r="S638" s="37"/>
      <c r="T638" s="29"/>
      <c r="U638" s="29"/>
    </row>
    <row r="639" spans="3:21" ht="16.5" customHeight="1">
      <c r="C639" s="29"/>
      <c r="D639" s="29"/>
      <c r="E639" s="29"/>
      <c r="H639" s="29"/>
      <c r="I639" s="29"/>
      <c r="J639" s="29"/>
      <c r="K639" s="31"/>
      <c r="L639" s="32"/>
      <c r="M639" s="29"/>
      <c r="N639" s="29"/>
      <c r="O639" s="29"/>
      <c r="P639" s="29"/>
      <c r="Q639" s="29"/>
      <c r="R639" s="29"/>
      <c r="S639" s="37"/>
      <c r="T639" s="29"/>
      <c r="U639" s="29"/>
    </row>
    <row r="640" spans="3:21" ht="16.5" customHeight="1">
      <c r="C640" s="29"/>
      <c r="D640" s="29"/>
      <c r="E640" s="29"/>
      <c r="H640" s="29"/>
      <c r="I640" s="29"/>
      <c r="J640" s="29"/>
      <c r="K640" s="31"/>
      <c r="L640" s="32"/>
      <c r="M640" s="29"/>
      <c r="N640" s="29"/>
      <c r="O640" s="29"/>
      <c r="P640" s="29"/>
      <c r="Q640" s="29"/>
      <c r="R640" s="29"/>
      <c r="S640" s="37"/>
      <c r="T640" s="29"/>
      <c r="U640" s="29"/>
    </row>
    <row r="641" spans="3:21" ht="16.5" customHeight="1">
      <c r="C641" s="29"/>
      <c r="D641" s="29"/>
      <c r="E641" s="29"/>
      <c r="H641" s="29"/>
      <c r="I641" s="29"/>
      <c r="J641" s="29"/>
      <c r="K641" s="31"/>
      <c r="L641" s="32"/>
      <c r="M641" s="29"/>
      <c r="N641" s="29"/>
      <c r="O641" s="29"/>
      <c r="P641" s="29"/>
      <c r="Q641" s="29"/>
      <c r="R641" s="29"/>
      <c r="S641" s="37"/>
      <c r="T641" s="29"/>
      <c r="U641" s="29"/>
    </row>
    <row r="642" spans="3:21" ht="16.5" customHeight="1">
      <c r="C642" s="29"/>
      <c r="D642" s="29"/>
      <c r="E642" s="29"/>
      <c r="H642" s="29"/>
      <c r="I642" s="29"/>
      <c r="J642" s="29"/>
      <c r="K642" s="31"/>
      <c r="L642" s="32"/>
      <c r="M642" s="29"/>
      <c r="N642" s="29"/>
      <c r="O642" s="29"/>
      <c r="P642" s="29"/>
      <c r="Q642" s="29"/>
      <c r="R642" s="29"/>
      <c r="S642" s="37"/>
      <c r="T642" s="29"/>
      <c r="U642" s="29"/>
    </row>
    <row r="643" spans="3:21" ht="16.5" customHeight="1">
      <c r="C643" s="29"/>
      <c r="D643" s="29"/>
      <c r="E643" s="29"/>
      <c r="H643" s="29"/>
      <c r="I643" s="29"/>
      <c r="J643" s="29"/>
      <c r="K643" s="31"/>
      <c r="L643" s="32"/>
      <c r="M643" s="29"/>
      <c r="N643" s="29"/>
      <c r="O643" s="29"/>
      <c r="P643" s="29"/>
      <c r="Q643" s="29"/>
      <c r="R643" s="29"/>
      <c r="S643" s="37"/>
      <c r="T643" s="29"/>
      <c r="U643" s="29"/>
    </row>
    <row r="644" spans="3:21" ht="16.5" customHeight="1">
      <c r="C644" s="29"/>
      <c r="D644" s="29"/>
      <c r="E644" s="29"/>
      <c r="H644" s="29"/>
      <c r="I644" s="29"/>
      <c r="J644" s="29"/>
      <c r="K644" s="31"/>
      <c r="L644" s="32"/>
      <c r="M644" s="29"/>
      <c r="N644" s="29"/>
      <c r="O644" s="29"/>
      <c r="P644" s="29"/>
      <c r="Q644" s="29"/>
      <c r="R644" s="29"/>
      <c r="S644" s="37"/>
      <c r="T644" s="29"/>
      <c r="U644" s="29"/>
    </row>
    <row r="645" spans="3:21" ht="16.5" customHeight="1">
      <c r="C645" s="29"/>
      <c r="D645" s="29"/>
      <c r="E645" s="29"/>
      <c r="H645" s="29"/>
      <c r="I645" s="29"/>
      <c r="J645" s="29"/>
      <c r="K645" s="31"/>
      <c r="L645" s="32"/>
      <c r="M645" s="29"/>
      <c r="N645" s="29"/>
      <c r="O645" s="29"/>
      <c r="P645" s="29"/>
      <c r="Q645" s="29"/>
      <c r="R645" s="29"/>
      <c r="S645" s="37"/>
      <c r="T645" s="29"/>
      <c r="U645" s="29"/>
    </row>
    <row r="646" spans="3:21" ht="16.5" customHeight="1">
      <c r="C646" s="29"/>
      <c r="D646" s="29"/>
      <c r="E646" s="29"/>
      <c r="H646" s="29"/>
      <c r="I646" s="29"/>
      <c r="J646" s="29"/>
      <c r="K646" s="31"/>
      <c r="L646" s="32"/>
      <c r="M646" s="29"/>
      <c r="N646" s="29"/>
      <c r="O646" s="29"/>
      <c r="P646" s="29"/>
      <c r="Q646" s="29"/>
      <c r="R646" s="29"/>
      <c r="S646" s="37"/>
      <c r="T646" s="29"/>
      <c r="U646" s="29"/>
    </row>
    <row r="647" spans="3:21" ht="16.5" customHeight="1">
      <c r="C647" s="29"/>
      <c r="D647" s="29"/>
      <c r="E647" s="29"/>
      <c r="H647" s="29"/>
      <c r="I647" s="29"/>
      <c r="J647" s="29"/>
      <c r="K647" s="31"/>
      <c r="L647" s="32"/>
      <c r="M647" s="29"/>
      <c r="N647" s="29"/>
      <c r="O647" s="29"/>
      <c r="P647" s="29"/>
      <c r="Q647" s="29"/>
      <c r="R647" s="29"/>
      <c r="S647" s="37"/>
      <c r="T647" s="29"/>
      <c r="U647" s="29"/>
    </row>
    <row r="648" spans="3:21" ht="16.5" customHeight="1">
      <c r="C648" s="29"/>
      <c r="D648" s="29"/>
      <c r="E648" s="29"/>
      <c r="H648" s="29"/>
      <c r="I648" s="29"/>
      <c r="J648" s="29"/>
      <c r="K648" s="31"/>
      <c r="L648" s="32"/>
      <c r="M648" s="29"/>
      <c r="N648" s="29"/>
      <c r="O648" s="29"/>
      <c r="P648" s="29"/>
      <c r="Q648" s="29"/>
      <c r="R648" s="29"/>
      <c r="S648" s="37"/>
      <c r="T648" s="29"/>
      <c r="U648" s="29"/>
    </row>
    <row r="649" spans="3:21" ht="16.5" customHeight="1">
      <c r="C649" s="29"/>
      <c r="D649" s="29"/>
      <c r="E649" s="29"/>
      <c r="H649" s="29"/>
      <c r="I649" s="29"/>
      <c r="J649" s="29"/>
      <c r="K649" s="31"/>
      <c r="L649" s="32"/>
      <c r="M649" s="29"/>
      <c r="N649" s="29"/>
      <c r="O649" s="29"/>
      <c r="P649" s="29"/>
      <c r="Q649" s="29"/>
      <c r="R649" s="29"/>
      <c r="S649" s="37"/>
      <c r="T649" s="29"/>
      <c r="U649" s="29"/>
    </row>
    <row r="650" spans="3:21" ht="16.5" customHeight="1">
      <c r="C650" s="29"/>
      <c r="D650" s="29"/>
      <c r="E650" s="29"/>
      <c r="H650" s="29"/>
      <c r="I650" s="29"/>
      <c r="J650" s="29"/>
      <c r="K650" s="31"/>
      <c r="L650" s="32"/>
      <c r="M650" s="29"/>
      <c r="N650" s="29"/>
      <c r="O650" s="29"/>
      <c r="P650" s="29"/>
      <c r="Q650" s="29"/>
      <c r="R650" s="29"/>
      <c r="S650" s="37"/>
      <c r="T650" s="29"/>
      <c r="U650" s="29"/>
    </row>
    <row r="651" spans="3:21" ht="16.5" customHeight="1">
      <c r="C651" s="29"/>
      <c r="D651" s="29"/>
      <c r="E651" s="29"/>
      <c r="H651" s="29"/>
      <c r="I651" s="29"/>
      <c r="J651" s="29"/>
      <c r="K651" s="31"/>
      <c r="L651" s="32"/>
      <c r="M651" s="29"/>
      <c r="N651" s="29"/>
      <c r="O651" s="29"/>
      <c r="P651" s="29"/>
      <c r="Q651" s="29"/>
      <c r="R651" s="29"/>
      <c r="S651" s="37"/>
      <c r="T651" s="29"/>
      <c r="U651" s="29"/>
    </row>
    <row r="652" spans="3:21" ht="16.5" customHeight="1">
      <c r="C652" s="29"/>
      <c r="D652" s="29"/>
      <c r="E652" s="29"/>
      <c r="H652" s="29"/>
      <c r="I652" s="29"/>
      <c r="J652" s="29"/>
      <c r="K652" s="31"/>
      <c r="L652" s="32"/>
      <c r="M652" s="29"/>
      <c r="N652" s="29"/>
      <c r="O652" s="29"/>
      <c r="P652" s="29"/>
      <c r="Q652" s="29"/>
      <c r="R652" s="29"/>
      <c r="S652" s="37"/>
      <c r="T652" s="29"/>
      <c r="U652" s="29"/>
    </row>
    <row r="653" spans="3:21" ht="16.5" customHeight="1">
      <c r="C653" s="29"/>
      <c r="D653" s="29"/>
      <c r="E653" s="29"/>
      <c r="H653" s="29"/>
      <c r="I653" s="29"/>
      <c r="J653" s="29"/>
      <c r="K653" s="31"/>
      <c r="L653" s="32"/>
      <c r="M653" s="29"/>
      <c r="N653" s="29"/>
      <c r="O653" s="29"/>
      <c r="P653" s="29"/>
      <c r="Q653" s="29"/>
      <c r="R653" s="29"/>
      <c r="S653" s="37"/>
      <c r="T653" s="29"/>
      <c r="U653" s="29"/>
    </row>
    <row r="654" spans="3:21" ht="16.5" customHeight="1">
      <c r="C654" s="29"/>
      <c r="D654" s="29"/>
      <c r="E654" s="29"/>
      <c r="H654" s="29"/>
      <c r="I654" s="29"/>
      <c r="J654" s="29"/>
      <c r="K654" s="31"/>
      <c r="L654" s="32"/>
      <c r="M654" s="29"/>
      <c r="N654" s="29"/>
      <c r="O654" s="29"/>
      <c r="P654" s="29"/>
      <c r="Q654" s="29"/>
      <c r="R654" s="29"/>
      <c r="S654" s="37"/>
      <c r="T654" s="29"/>
      <c r="U654" s="29"/>
    </row>
    <row r="655" spans="3:21" ht="16.5" customHeight="1">
      <c r="C655" s="29"/>
      <c r="D655" s="29"/>
      <c r="E655" s="29"/>
      <c r="H655" s="29"/>
      <c r="I655" s="29"/>
      <c r="J655" s="29"/>
      <c r="K655" s="31"/>
      <c r="L655" s="32"/>
      <c r="M655" s="29"/>
      <c r="N655" s="29"/>
      <c r="O655" s="29"/>
      <c r="P655" s="29"/>
      <c r="Q655" s="29"/>
      <c r="R655" s="29"/>
      <c r="S655" s="37"/>
      <c r="T655" s="29"/>
      <c r="U655" s="29"/>
    </row>
    <row r="656" spans="3:21" ht="16.5" customHeight="1">
      <c r="C656" s="29"/>
      <c r="D656" s="29"/>
      <c r="E656" s="29"/>
      <c r="H656" s="29"/>
      <c r="I656" s="29"/>
      <c r="J656" s="29"/>
      <c r="K656" s="31"/>
      <c r="L656" s="32"/>
      <c r="M656" s="29"/>
      <c r="N656" s="29"/>
      <c r="O656" s="29"/>
      <c r="P656" s="29"/>
      <c r="Q656" s="29"/>
      <c r="R656" s="29"/>
      <c r="S656" s="37"/>
      <c r="T656" s="29"/>
      <c r="U656" s="29"/>
    </row>
    <row r="657" spans="3:21" ht="16.5" customHeight="1">
      <c r="C657" s="29"/>
      <c r="D657" s="29"/>
      <c r="E657" s="29"/>
      <c r="H657" s="29"/>
      <c r="I657" s="29"/>
      <c r="J657" s="29"/>
      <c r="K657" s="31"/>
      <c r="L657" s="32"/>
      <c r="M657" s="29"/>
      <c r="N657" s="29"/>
      <c r="O657" s="29"/>
      <c r="P657" s="29"/>
      <c r="Q657" s="29"/>
      <c r="R657" s="29"/>
      <c r="S657" s="37"/>
      <c r="T657" s="29"/>
      <c r="U657" s="29"/>
    </row>
    <row r="658" spans="3:21" ht="16.5" customHeight="1">
      <c r="C658" s="29"/>
      <c r="D658" s="29"/>
      <c r="E658" s="29"/>
      <c r="H658" s="29"/>
      <c r="I658" s="29"/>
      <c r="J658" s="29"/>
      <c r="K658" s="31"/>
      <c r="L658" s="32"/>
      <c r="M658" s="29"/>
      <c r="N658" s="29"/>
      <c r="O658" s="29"/>
      <c r="P658" s="29"/>
      <c r="Q658" s="29"/>
      <c r="R658" s="29"/>
      <c r="S658" s="37"/>
      <c r="T658" s="29"/>
      <c r="U658" s="29"/>
    </row>
    <row r="659" spans="3:21" ht="16.5" customHeight="1">
      <c r="C659" s="29"/>
      <c r="D659" s="29"/>
      <c r="E659" s="29"/>
      <c r="H659" s="29"/>
      <c r="I659" s="29"/>
      <c r="J659" s="29"/>
      <c r="K659" s="31"/>
      <c r="L659" s="32"/>
      <c r="M659" s="29"/>
      <c r="N659" s="29"/>
      <c r="O659" s="29"/>
      <c r="P659" s="29"/>
      <c r="Q659" s="29"/>
      <c r="R659" s="29"/>
      <c r="S659" s="37"/>
      <c r="T659" s="29"/>
      <c r="U659" s="29"/>
    </row>
    <row r="660" spans="3:21" ht="16.5" customHeight="1">
      <c r="C660" s="29"/>
      <c r="D660" s="29"/>
      <c r="E660" s="29"/>
      <c r="H660" s="29"/>
      <c r="I660" s="29"/>
      <c r="J660" s="29"/>
      <c r="K660" s="31"/>
      <c r="L660" s="32"/>
      <c r="M660" s="29"/>
      <c r="N660" s="29"/>
      <c r="O660" s="29"/>
      <c r="P660" s="29"/>
      <c r="Q660" s="29"/>
      <c r="R660" s="29"/>
      <c r="S660" s="37"/>
      <c r="T660" s="29"/>
      <c r="U660" s="29"/>
    </row>
    <row r="661" spans="3:21" ht="16.5" customHeight="1">
      <c r="C661" s="29"/>
      <c r="D661" s="29"/>
      <c r="E661" s="29"/>
      <c r="H661" s="29"/>
      <c r="I661" s="29"/>
      <c r="J661" s="29"/>
      <c r="K661" s="31"/>
      <c r="L661" s="32"/>
      <c r="M661" s="29"/>
      <c r="N661" s="29"/>
      <c r="O661" s="29"/>
      <c r="P661" s="29"/>
      <c r="Q661" s="29"/>
      <c r="R661" s="29"/>
      <c r="S661" s="37"/>
      <c r="T661" s="29"/>
      <c r="U661" s="29"/>
    </row>
    <row r="662" spans="3:21" ht="16.5" customHeight="1">
      <c r="C662" s="29"/>
      <c r="D662" s="29"/>
      <c r="E662" s="29"/>
      <c r="H662" s="29"/>
      <c r="I662" s="29"/>
      <c r="J662" s="29"/>
      <c r="K662" s="31"/>
      <c r="L662" s="32"/>
      <c r="M662" s="29"/>
      <c r="N662" s="29"/>
      <c r="O662" s="29"/>
      <c r="P662" s="29"/>
      <c r="Q662" s="29"/>
      <c r="R662" s="29"/>
      <c r="S662" s="37"/>
      <c r="T662" s="29"/>
      <c r="U662" s="29"/>
    </row>
    <row r="663" spans="3:21" ht="16.5" customHeight="1">
      <c r="C663" s="29"/>
      <c r="D663" s="29"/>
      <c r="E663" s="29"/>
      <c r="H663" s="29"/>
      <c r="I663" s="29"/>
      <c r="J663" s="29"/>
      <c r="K663" s="31"/>
      <c r="L663" s="32"/>
      <c r="M663" s="29"/>
      <c r="N663" s="29"/>
      <c r="O663" s="29"/>
      <c r="P663" s="29"/>
      <c r="Q663" s="29"/>
      <c r="R663" s="29"/>
      <c r="S663" s="37"/>
      <c r="T663" s="29"/>
      <c r="U663" s="29"/>
    </row>
    <row r="664" spans="3:21" ht="16.5" customHeight="1">
      <c r="C664" s="29"/>
      <c r="D664" s="29"/>
      <c r="E664" s="29"/>
      <c r="H664" s="29"/>
      <c r="I664" s="29"/>
      <c r="J664" s="29"/>
      <c r="K664" s="31"/>
      <c r="L664" s="32"/>
      <c r="M664" s="29"/>
      <c r="N664" s="29"/>
      <c r="O664" s="29"/>
      <c r="P664" s="29"/>
      <c r="Q664" s="29"/>
      <c r="R664" s="29"/>
      <c r="S664" s="37"/>
      <c r="T664" s="29"/>
      <c r="U664" s="29"/>
    </row>
    <row r="665" spans="3:21" ht="16.5" customHeight="1">
      <c r="C665" s="29"/>
      <c r="D665" s="29"/>
      <c r="E665" s="29"/>
      <c r="H665" s="29"/>
      <c r="I665" s="29"/>
      <c r="J665" s="29"/>
      <c r="K665" s="31"/>
      <c r="L665" s="32"/>
      <c r="M665" s="29"/>
      <c r="N665" s="29"/>
      <c r="O665" s="29"/>
      <c r="P665" s="29"/>
      <c r="Q665" s="29"/>
      <c r="R665" s="29"/>
      <c r="S665" s="37"/>
      <c r="T665" s="29"/>
      <c r="U665" s="29"/>
    </row>
    <row r="666" spans="3:21" ht="16.5" customHeight="1">
      <c r="C666" s="29"/>
      <c r="D666" s="29"/>
      <c r="E666" s="29"/>
      <c r="H666" s="29"/>
      <c r="I666" s="29"/>
      <c r="J666" s="29"/>
      <c r="K666" s="31"/>
      <c r="L666" s="32"/>
      <c r="M666" s="29"/>
      <c r="N666" s="29"/>
      <c r="O666" s="29"/>
      <c r="P666" s="29"/>
      <c r="Q666" s="29"/>
      <c r="R666" s="29"/>
      <c r="S666" s="37"/>
      <c r="T666" s="29"/>
      <c r="U666" s="29"/>
    </row>
    <row r="667" spans="3:21" ht="16.5" customHeight="1">
      <c r="C667" s="29"/>
      <c r="D667" s="29"/>
      <c r="E667" s="29"/>
      <c r="H667" s="29"/>
      <c r="I667" s="29"/>
      <c r="J667" s="29"/>
      <c r="K667" s="31"/>
      <c r="L667" s="32"/>
      <c r="M667" s="29"/>
      <c r="N667" s="29"/>
      <c r="O667" s="29"/>
      <c r="P667" s="29"/>
      <c r="Q667" s="29"/>
      <c r="R667" s="29"/>
      <c r="S667" s="37"/>
      <c r="T667" s="29"/>
      <c r="U667" s="29"/>
    </row>
    <row r="668" spans="3:21" ht="16.5" customHeight="1">
      <c r="C668" s="29"/>
      <c r="D668" s="29"/>
      <c r="E668" s="29"/>
      <c r="H668" s="29"/>
      <c r="I668" s="29"/>
      <c r="J668" s="29"/>
      <c r="K668" s="31"/>
      <c r="L668" s="32"/>
      <c r="M668" s="29"/>
      <c r="N668" s="29"/>
      <c r="O668" s="29"/>
      <c r="P668" s="29"/>
      <c r="Q668" s="29"/>
      <c r="R668" s="29"/>
      <c r="S668" s="37"/>
      <c r="T668" s="29"/>
      <c r="U668" s="29"/>
    </row>
    <row r="669" spans="3:21" ht="16.5" customHeight="1">
      <c r="C669" s="29"/>
      <c r="D669" s="29"/>
      <c r="E669" s="29"/>
      <c r="H669" s="29"/>
      <c r="I669" s="29"/>
      <c r="J669" s="29"/>
      <c r="K669" s="31"/>
      <c r="L669" s="32"/>
      <c r="M669" s="29"/>
      <c r="N669" s="29"/>
      <c r="O669" s="29"/>
      <c r="P669" s="29"/>
      <c r="Q669" s="29"/>
      <c r="R669" s="29"/>
      <c r="S669" s="37"/>
      <c r="T669" s="29"/>
      <c r="U669" s="29"/>
    </row>
    <row r="670" spans="3:21" ht="16.5" customHeight="1">
      <c r="C670" s="29"/>
      <c r="D670" s="29"/>
      <c r="E670" s="29"/>
      <c r="H670" s="29"/>
      <c r="I670" s="29"/>
      <c r="J670" s="29"/>
      <c r="K670" s="31"/>
      <c r="L670" s="32"/>
      <c r="M670" s="29"/>
      <c r="N670" s="29"/>
      <c r="O670" s="29"/>
      <c r="P670" s="29"/>
      <c r="Q670" s="29"/>
      <c r="R670" s="29"/>
      <c r="S670" s="37"/>
      <c r="T670" s="29"/>
      <c r="U670" s="29"/>
    </row>
    <row r="671" spans="3:21" ht="16.5" customHeight="1">
      <c r="C671" s="29"/>
      <c r="D671" s="29"/>
      <c r="E671" s="29"/>
      <c r="H671" s="29"/>
      <c r="I671" s="29"/>
      <c r="J671" s="29"/>
      <c r="K671" s="31"/>
      <c r="L671" s="32"/>
      <c r="M671" s="29"/>
      <c r="N671" s="29"/>
      <c r="O671" s="29"/>
      <c r="P671" s="29"/>
      <c r="Q671" s="29"/>
      <c r="R671" s="29"/>
      <c r="S671" s="37"/>
      <c r="T671" s="29"/>
      <c r="U671" s="29"/>
    </row>
    <row r="672" spans="3:21" ht="16.5" customHeight="1">
      <c r="C672" s="29"/>
      <c r="D672" s="29"/>
      <c r="E672" s="29"/>
      <c r="H672" s="29"/>
      <c r="I672" s="29"/>
      <c r="J672" s="29"/>
      <c r="K672" s="31"/>
      <c r="L672" s="32"/>
      <c r="M672" s="29"/>
      <c r="N672" s="29"/>
      <c r="O672" s="29"/>
      <c r="P672" s="29"/>
      <c r="Q672" s="29"/>
      <c r="R672" s="29"/>
      <c r="S672" s="37"/>
      <c r="T672" s="29"/>
      <c r="U672" s="29"/>
    </row>
    <row r="673" spans="3:21" ht="16.5" customHeight="1">
      <c r="C673" s="29"/>
      <c r="D673" s="29"/>
      <c r="E673" s="29"/>
      <c r="H673" s="29"/>
      <c r="I673" s="29"/>
      <c r="J673" s="29"/>
      <c r="K673" s="31"/>
      <c r="L673" s="32"/>
      <c r="M673" s="29"/>
      <c r="N673" s="29"/>
      <c r="O673" s="29"/>
      <c r="P673" s="29"/>
      <c r="Q673" s="29"/>
      <c r="R673" s="29"/>
      <c r="S673" s="37"/>
      <c r="T673" s="29"/>
      <c r="U673" s="29"/>
    </row>
    <row r="674" spans="3:21" ht="16.5" customHeight="1">
      <c r="C674" s="29"/>
      <c r="D674" s="29"/>
      <c r="E674" s="29"/>
      <c r="H674" s="29"/>
      <c r="I674" s="29"/>
      <c r="J674" s="29"/>
      <c r="K674" s="31"/>
      <c r="L674" s="32"/>
      <c r="M674" s="29"/>
      <c r="N674" s="29"/>
      <c r="O674" s="29"/>
      <c r="P674" s="29"/>
      <c r="Q674" s="29"/>
      <c r="R674" s="29"/>
      <c r="S674" s="37"/>
      <c r="T674" s="29"/>
      <c r="U674" s="29"/>
    </row>
    <row r="675" spans="3:21" ht="16.5" customHeight="1">
      <c r="C675" s="29"/>
      <c r="D675" s="29"/>
      <c r="E675" s="29"/>
      <c r="H675" s="29"/>
      <c r="I675" s="29"/>
      <c r="J675" s="29"/>
      <c r="K675" s="31"/>
      <c r="L675" s="32"/>
      <c r="M675" s="29"/>
      <c r="N675" s="29"/>
      <c r="O675" s="29"/>
      <c r="P675" s="29"/>
      <c r="Q675" s="29"/>
      <c r="R675" s="29"/>
      <c r="S675" s="37"/>
      <c r="T675" s="29"/>
      <c r="U675" s="29"/>
    </row>
    <row r="676" spans="3:21" ht="16.5" customHeight="1">
      <c r="C676" s="29"/>
      <c r="D676" s="29"/>
      <c r="E676" s="29"/>
      <c r="H676" s="29"/>
      <c r="I676" s="29"/>
      <c r="J676" s="29"/>
      <c r="K676" s="31"/>
      <c r="L676" s="32"/>
      <c r="M676" s="29"/>
      <c r="N676" s="29"/>
      <c r="O676" s="29"/>
      <c r="P676" s="29"/>
      <c r="Q676" s="29"/>
      <c r="R676" s="29"/>
      <c r="S676" s="37"/>
      <c r="T676" s="29"/>
      <c r="U676" s="29"/>
    </row>
    <row r="677" spans="3:21" ht="16.5" customHeight="1">
      <c r="C677" s="29"/>
      <c r="D677" s="29"/>
      <c r="E677" s="29"/>
      <c r="H677" s="29"/>
      <c r="I677" s="29"/>
      <c r="J677" s="29"/>
      <c r="K677" s="31"/>
      <c r="L677" s="32"/>
      <c r="M677" s="29"/>
      <c r="N677" s="29"/>
      <c r="O677" s="29"/>
      <c r="P677" s="29"/>
      <c r="Q677" s="29"/>
      <c r="R677" s="29"/>
      <c r="S677" s="37"/>
      <c r="T677" s="29"/>
      <c r="U677" s="29"/>
    </row>
    <row r="678" spans="3:21" ht="16.5" customHeight="1">
      <c r="C678" s="29"/>
      <c r="D678" s="29"/>
      <c r="E678" s="29"/>
      <c r="H678" s="29"/>
      <c r="I678" s="29"/>
      <c r="J678" s="29"/>
      <c r="K678" s="31"/>
      <c r="L678" s="32"/>
      <c r="M678" s="29"/>
      <c r="N678" s="29"/>
      <c r="O678" s="29"/>
      <c r="P678" s="29"/>
      <c r="Q678" s="29"/>
      <c r="R678" s="29"/>
      <c r="S678" s="37"/>
      <c r="T678" s="29"/>
      <c r="U678" s="29"/>
    </row>
    <row r="679" spans="3:21" ht="16.5" customHeight="1">
      <c r="C679" s="29"/>
      <c r="D679" s="29"/>
      <c r="E679" s="29"/>
      <c r="H679" s="29"/>
      <c r="I679" s="29"/>
      <c r="J679" s="29"/>
      <c r="K679" s="31"/>
      <c r="L679" s="32"/>
      <c r="M679" s="29"/>
      <c r="N679" s="29"/>
      <c r="O679" s="29"/>
      <c r="P679" s="29"/>
      <c r="Q679" s="29"/>
      <c r="R679" s="29"/>
      <c r="S679" s="37"/>
      <c r="T679" s="29"/>
      <c r="U679" s="29"/>
    </row>
    <row r="680" spans="3:21" ht="16.5" customHeight="1">
      <c r="C680" s="29"/>
      <c r="D680" s="29"/>
      <c r="E680" s="29"/>
      <c r="H680" s="29"/>
      <c r="I680" s="29"/>
      <c r="J680" s="29"/>
      <c r="K680" s="31"/>
      <c r="L680" s="32"/>
      <c r="M680" s="29"/>
      <c r="N680" s="29"/>
      <c r="O680" s="29"/>
      <c r="P680" s="29"/>
      <c r="Q680" s="29"/>
      <c r="R680" s="29"/>
      <c r="S680" s="37"/>
      <c r="T680" s="29"/>
      <c r="U680" s="29"/>
    </row>
    <row r="681" spans="3:21" ht="16.5" customHeight="1">
      <c r="C681" s="29"/>
      <c r="D681" s="29"/>
      <c r="E681" s="29"/>
      <c r="H681" s="29"/>
      <c r="I681" s="29"/>
      <c r="J681" s="29"/>
      <c r="K681" s="31"/>
      <c r="L681" s="32"/>
      <c r="M681" s="29"/>
      <c r="N681" s="29"/>
      <c r="O681" s="29"/>
      <c r="P681" s="29"/>
      <c r="Q681" s="29"/>
      <c r="R681" s="29"/>
      <c r="S681" s="37"/>
      <c r="T681" s="29"/>
      <c r="U681" s="29"/>
    </row>
    <row r="682" spans="3:21" ht="16.5" customHeight="1">
      <c r="C682" s="29"/>
      <c r="D682" s="29"/>
      <c r="E682" s="29"/>
      <c r="H682" s="29"/>
      <c r="I682" s="29"/>
      <c r="J682" s="29"/>
      <c r="K682" s="31"/>
      <c r="L682" s="32"/>
      <c r="M682" s="29"/>
      <c r="N682" s="29"/>
      <c r="O682" s="29"/>
      <c r="P682" s="29"/>
      <c r="Q682" s="29"/>
      <c r="R682" s="29"/>
      <c r="S682" s="37"/>
      <c r="T682" s="29"/>
      <c r="U682" s="29"/>
    </row>
    <row r="683" spans="3:21" ht="16.5" customHeight="1">
      <c r="C683" s="29"/>
      <c r="D683" s="29"/>
      <c r="E683" s="29"/>
      <c r="H683" s="29"/>
      <c r="I683" s="29"/>
      <c r="J683" s="29"/>
      <c r="K683" s="31"/>
      <c r="L683" s="32"/>
      <c r="M683" s="29"/>
      <c r="N683" s="29"/>
      <c r="O683" s="29"/>
      <c r="P683" s="29"/>
      <c r="Q683" s="29"/>
      <c r="R683" s="29"/>
      <c r="S683" s="37"/>
      <c r="T683" s="29"/>
      <c r="U683" s="29"/>
    </row>
    <row r="684" spans="3:21" ht="16.5" customHeight="1">
      <c r="C684" s="29"/>
      <c r="D684" s="29"/>
      <c r="E684" s="29"/>
      <c r="H684" s="29"/>
      <c r="I684" s="29"/>
      <c r="J684" s="29"/>
      <c r="K684" s="31"/>
      <c r="L684" s="32"/>
      <c r="M684" s="29"/>
      <c r="N684" s="29"/>
      <c r="O684" s="29"/>
      <c r="P684" s="29"/>
      <c r="Q684" s="29"/>
      <c r="R684" s="29"/>
      <c r="S684" s="37"/>
      <c r="T684" s="29"/>
      <c r="U684" s="29"/>
    </row>
    <row r="685" spans="3:21" ht="16.5" customHeight="1">
      <c r="C685" s="29"/>
      <c r="D685" s="29"/>
      <c r="E685" s="29"/>
      <c r="H685" s="29"/>
      <c r="I685" s="29"/>
      <c r="J685" s="29"/>
      <c r="K685" s="31"/>
      <c r="L685" s="32"/>
      <c r="M685" s="29"/>
      <c r="N685" s="29"/>
      <c r="O685" s="29"/>
      <c r="P685" s="29"/>
      <c r="Q685" s="29"/>
      <c r="R685" s="29"/>
      <c r="S685" s="37"/>
      <c r="T685" s="29"/>
      <c r="U685" s="29"/>
    </row>
    <row r="686" spans="3:21" ht="16.5" customHeight="1">
      <c r="C686" s="29"/>
      <c r="D686" s="29"/>
      <c r="E686" s="29"/>
      <c r="H686" s="29"/>
      <c r="I686" s="29"/>
      <c r="J686" s="29"/>
      <c r="K686" s="31"/>
      <c r="L686" s="32"/>
      <c r="M686" s="29"/>
      <c r="N686" s="29"/>
      <c r="O686" s="29"/>
      <c r="P686" s="29"/>
      <c r="Q686" s="29"/>
      <c r="R686" s="29"/>
      <c r="S686" s="37"/>
      <c r="T686" s="29"/>
      <c r="U686" s="29"/>
    </row>
    <row r="687" spans="3:21" ht="16.5" customHeight="1">
      <c r="C687" s="29"/>
      <c r="D687" s="29"/>
      <c r="E687" s="29"/>
      <c r="H687" s="29"/>
      <c r="I687" s="29"/>
      <c r="J687" s="29"/>
      <c r="K687" s="31"/>
      <c r="L687" s="32"/>
      <c r="M687" s="29"/>
      <c r="N687" s="29"/>
      <c r="O687" s="29"/>
      <c r="P687" s="29"/>
      <c r="Q687" s="29"/>
      <c r="R687" s="29"/>
      <c r="S687" s="37"/>
      <c r="T687" s="29"/>
      <c r="U687" s="29"/>
    </row>
    <row r="688" spans="3:21" ht="16.5" customHeight="1">
      <c r="C688" s="29"/>
      <c r="D688" s="29"/>
      <c r="E688" s="29"/>
      <c r="H688" s="29"/>
      <c r="I688" s="29"/>
      <c r="J688" s="29"/>
      <c r="K688" s="31"/>
      <c r="L688" s="32"/>
      <c r="M688" s="29"/>
      <c r="N688" s="29"/>
      <c r="O688" s="29"/>
      <c r="P688" s="29"/>
      <c r="Q688" s="29"/>
      <c r="R688" s="29"/>
      <c r="S688" s="37"/>
      <c r="T688" s="29"/>
      <c r="U688" s="29"/>
    </row>
    <row r="689" spans="3:21" ht="16.5" customHeight="1">
      <c r="C689" s="29"/>
      <c r="D689" s="29"/>
      <c r="E689" s="29"/>
      <c r="H689" s="29"/>
      <c r="I689" s="29"/>
      <c r="J689" s="29"/>
      <c r="K689" s="31"/>
      <c r="L689" s="32"/>
      <c r="M689" s="29"/>
      <c r="N689" s="29"/>
      <c r="O689" s="29"/>
      <c r="P689" s="29"/>
      <c r="Q689" s="29"/>
      <c r="R689" s="29"/>
      <c r="S689" s="37"/>
      <c r="T689" s="29"/>
      <c r="U689" s="29"/>
    </row>
    <row r="690" spans="3:21" ht="16.5" customHeight="1">
      <c r="C690" s="29"/>
      <c r="D690" s="29"/>
      <c r="E690" s="29"/>
      <c r="H690" s="29"/>
      <c r="I690" s="29"/>
      <c r="J690" s="29"/>
      <c r="K690" s="31"/>
      <c r="L690" s="32"/>
      <c r="M690" s="29"/>
      <c r="N690" s="29"/>
      <c r="O690" s="29"/>
      <c r="P690" s="29"/>
      <c r="Q690" s="29"/>
      <c r="R690" s="29"/>
      <c r="S690" s="37"/>
      <c r="T690" s="29"/>
      <c r="U690" s="29"/>
    </row>
    <row r="691" spans="3:21" ht="16.5" customHeight="1">
      <c r="C691" s="29"/>
      <c r="D691" s="29"/>
      <c r="E691" s="29"/>
      <c r="H691" s="29"/>
      <c r="I691" s="29"/>
      <c r="J691" s="29"/>
      <c r="K691" s="31"/>
      <c r="L691" s="32"/>
      <c r="M691" s="29"/>
      <c r="N691" s="29"/>
      <c r="O691" s="29"/>
      <c r="P691" s="29"/>
      <c r="Q691" s="29"/>
      <c r="R691" s="29"/>
      <c r="S691" s="37"/>
      <c r="T691" s="29"/>
      <c r="U691" s="29"/>
    </row>
    <row r="692" spans="3:21" ht="16.5" customHeight="1">
      <c r="C692" s="29"/>
      <c r="D692" s="29"/>
      <c r="E692" s="29"/>
      <c r="H692" s="29"/>
      <c r="I692" s="29"/>
      <c r="J692" s="29"/>
      <c r="K692" s="31"/>
      <c r="L692" s="32"/>
      <c r="M692" s="29"/>
      <c r="N692" s="29"/>
      <c r="O692" s="29"/>
      <c r="P692" s="29"/>
      <c r="Q692" s="29"/>
      <c r="R692" s="29"/>
      <c r="S692" s="37"/>
      <c r="T692" s="29"/>
      <c r="U692" s="29"/>
    </row>
    <row r="693" spans="3:21" ht="16.5" customHeight="1">
      <c r="C693" s="29"/>
      <c r="D693" s="29"/>
      <c r="E693" s="29"/>
      <c r="H693" s="29"/>
      <c r="I693" s="29"/>
      <c r="J693" s="29"/>
      <c r="K693" s="31"/>
      <c r="L693" s="32"/>
      <c r="M693" s="29"/>
      <c r="N693" s="29"/>
      <c r="O693" s="29"/>
      <c r="P693" s="29"/>
      <c r="Q693" s="29"/>
      <c r="R693" s="29"/>
      <c r="S693" s="37"/>
      <c r="T693" s="29"/>
      <c r="U693" s="29"/>
    </row>
    <row r="694" spans="3:21" ht="16.5" customHeight="1">
      <c r="C694" s="29"/>
      <c r="D694" s="29"/>
      <c r="E694" s="29"/>
      <c r="H694" s="29"/>
      <c r="I694" s="29"/>
      <c r="J694" s="29"/>
      <c r="K694" s="31"/>
      <c r="L694" s="32"/>
      <c r="M694" s="29"/>
      <c r="N694" s="29"/>
      <c r="O694" s="29"/>
      <c r="P694" s="29"/>
      <c r="Q694" s="29"/>
      <c r="R694" s="29"/>
      <c r="S694" s="37"/>
      <c r="T694" s="29"/>
      <c r="U694" s="29"/>
    </row>
    <row r="695" spans="3:21" ht="16.5" customHeight="1">
      <c r="C695" s="29"/>
      <c r="D695" s="29"/>
      <c r="E695" s="29"/>
      <c r="H695" s="29"/>
      <c r="I695" s="29"/>
      <c r="J695" s="29"/>
      <c r="K695" s="31"/>
      <c r="L695" s="32"/>
      <c r="M695" s="29"/>
      <c r="N695" s="29"/>
      <c r="O695" s="29"/>
      <c r="P695" s="29"/>
      <c r="Q695" s="29"/>
      <c r="R695" s="29"/>
      <c r="S695" s="37"/>
      <c r="T695" s="29"/>
      <c r="U695" s="29"/>
    </row>
    <row r="696" spans="3:21" ht="16.5" customHeight="1">
      <c r="C696" s="29"/>
      <c r="D696" s="29"/>
      <c r="E696" s="29"/>
      <c r="H696" s="29"/>
      <c r="I696" s="29"/>
      <c r="J696" s="29"/>
      <c r="K696" s="31"/>
      <c r="L696" s="32"/>
      <c r="M696" s="29"/>
      <c r="N696" s="29"/>
      <c r="O696" s="29"/>
      <c r="P696" s="29"/>
      <c r="Q696" s="29"/>
      <c r="R696" s="29"/>
      <c r="S696" s="37"/>
      <c r="T696" s="29"/>
      <c r="U696" s="29"/>
    </row>
    <row r="697" spans="3:21" ht="16.5" customHeight="1">
      <c r="C697" s="29"/>
      <c r="D697" s="29"/>
      <c r="E697" s="29"/>
      <c r="H697" s="29"/>
      <c r="I697" s="29"/>
      <c r="J697" s="29"/>
      <c r="K697" s="31"/>
      <c r="L697" s="32"/>
      <c r="M697" s="29"/>
      <c r="N697" s="29"/>
      <c r="O697" s="29"/>
      <c r="P697" s="29"/>
      <c r="Q697" s="29"/>
      <c r="R697" s="29"/>
      <c r="S697" s="37"/>
      <c r="T697" s="29"/>
      <c r="U697" s="29"/>
    </row>
    <row r="698" spans="3:21" ht="16.5" customHeight="1">
      <c r="C698" s="29"/>
      <c r="D698" s="29"/>
      <c r="E698" s="29"/>
      <c r="H698" s="29"/>
      <c r="I698" s="29"/>
      <c r="J698" s="29"/>
      <c r="K698" s="31"/>
      <c r="L698" s="32"/>
      <c r="M698" s="29"/>
      <c r="N698" s="29"/>
      <c r="O698" s="29"/>
      <c r="P698" s="29"/>
      <c r="Q698" s="29"/>
      <c r="R698" s="29"/>
      <c r="S698" s="37"/>
      <c r="T698" s="29"/>
      <c r="U698" s="29"/>
    </row>
    <row r="699" spans="3:21" ht="16.5" customHeight="1">
      <c r="C699" s="29"/>
      <c r="D699" s="29"/>
      <c r="E699" s="29"/>
      <c r="H699" s="29"/>
      <c r="I699" s="29"/>
      <c r="J699" s="29"/>
      <c r="K699" s="31"/>
      <c r="L699" s="32"/>
      <c r="M699" s="29"/>
      <c r="N699" s="29"/>
      <c r="O699" s="29"/>
      <c r="P699" s="29"/>
      <c r="Q699" s="29"/>
      <c r="R699" s="29"/>
      <c r="S699" s="37"/>
      <c r="T699" s="29"/>
      <c r="U699" s="29"/>
    </row>
    <row r="700" spans="3:21" ht="16.5" customHeight="1">
      <c r="C700" s="29"/>
      <c r="D700" s="29"/>
      <c r="E700" s="29"/>
      <c r="H700" s="29"/>
      <c r="I700" s="29"/>
      <c r="J700" s="29"/>
      <c r="K700" s="31"/>
      <c r="L700" s="32"/>
      <c r="M700" s="29"/>
      <c r="N700" s="29"/>
      <c r="O700" s="29"/>
      <c r="P700" s="29"/>
      <c r="Q700" s="29"/>
      <c r="R700" s="29"/>
      <c r="S700" s="37"/>
      <c r="T700" s="29"/>
      <c r="U700" s="29"/>
    </row>
    <row r="701" spans="3:21" ht="16.5" customHeight="1">
      <c r="C701" s="29"/>
      <c r="D701" s="29"/>
      <c r="E701" s="29"/>
      <c r="H701" s="29"/>
      <c r="I701" s="29"/>
      <c r="J701" s="29"/>
      <c r="K701" s="31"/>
      <c r="L701" s="32"/>
      <c r="M701" s="29"/>
      <c r="N701" s="29"/>
      <c r="O701" s="29"/>
      <c r="P701" s="29"/>
      <c r="Q701" s="29"/>
      <c r="R701" s="29"/>
      <c r="S701" s="37"/>
      <c r="T701" s="29"/>
      <c r="U701" s="29"/>
    </row>
    <row r="702" spans="3:21" ht="16.5" customHeight="1">
      <c r="C702" s="29"/>
      <c r="D702" s="29"/>
      <c r="E702" s="29"/>
      <c r="H702" s="29"/>
      <c r="I702" s="29"/>
      <c r="J702" s="29"/>
      <c r="K702" s="31"/>
      <c r="L702" s="32"/>
      <c r="M702" s="29"/>
      <c r="N702" s="29"/>
      <c r="O702" s="29"/>
      <c r="P702" s="29"/>
      <c r="Q702" s="29"/>
      <c r="R702" s="29"/>
      <c r="S702" s="37"/>
      <c r="T702" s="29"/>
      <c r="U702" s="29"/>
    </row>
    <row r="703" spans="3:21" ht="16.5" customHeight="1">
      <c r="C703" s="29"/>
      <c r="D703" s="29"/>
      <c r="E703" s="29"/>
      <c r="H703" s="29"/>
      <c r="I703" s="29"/>
      <c r="J703" s="29"/>
      <c r="K703" s="31"/>
      <c r="L703" s="32"/>
      <c r="M703" s="29"/>
      <c r="N703" s="29"/>
      <c r="O703" s="29"/>
      <c r="P703" s="29"/>
      <c r="Q703" s="29"/>
      <c r="R703" s="29"/>
      <c r="S703" s="37"/>
      <c r="T703" s="29"/>
      <c r="U703" s="29"/>
    </row>
    <row r="704" spans="3:21" ht="16.5" customHeight="1">
      <c r="C704" s="29"/>
      <c r="D704" s="29"/>
      <c r="E704" s="29"/>
      <c r="H704" s="29"/>
      <c r="I704" s="29"/>
      <c r="J704" s="29"/>
      <c r="K704" s="31"/>
      <c r="L704" s="32"/>
      <c r="M704" s="29"/>
      <c r="N704" s="29"/>
      <c r="O704" s="29"/>
      <c r="P704" s="29"/>
      <c r="Q704" s="29"/>
      <c r="R704" s="29"/>
      <c r="S704" s="37"/>
      <c r="T704" s="29"/>
      <c r="U704" s="29"/>
    </row>
    <row r="705" spans="3:21" ht="16.5" customHeight="1">
      <c r="C705" s="29"/>
      <c r="D705" s="29"/>
      <c r="E705" s="29"/>
      <c r="H705" s="29"/>
      <c r="I705" s="29"/>
      <c r="J705" s="29"/>
      <c r="K705" s="31"/>
      <c r="L705" s="32"/>
      <c r="M705" s="29"/>
      <c r="N705" s="29"/>
      <c r="O705" s="29"/>
      <c r="P705" s="29"/>
      <c r="Q705" s="29"/>
      <c r="R705" s="29"/>
      <c r="S705" s="37"/>
      <c r="T705" s="29"/>
      <c r="U705" s="29"/>
    </row>
    <row r="706" spans="3:21" ht="16.5" customHeight="1">
      <c r="C706" s="29"/>
      <c r="D706" s="29"/>
      <c r="E706" s="29"/>
      <c r="H706" s="29"/>
      <c r="I706" s="29"/>
      <c r="J706" s="29"/>
      <c r="K706" s="31"/>
      <c r="L706" s="32"/>
      <c r="M706" s="29"/>
      <c r="N706" s="29"/>
      <c r="O706" s="29"/>
      <c r="P706" s="29"/>
      <c r="Q706" s="29"/>
      <c r="R706" s="29"/>
      <c r="S706" s="37"/>
      <c r="T706" s="29"/>
      <c r="U706" s="29"/>
    </row>
    <row r="707" spans="3:21" ht="16.5" customHeight="1">
      <c r="C707" s="29"/>
      <c r="D707" s="29"/>
      <c r="E707" s="29"/>
      <c r="H707" s="29"/>
      <c r="I707" s="29"/>
      <c r="J707" s="29"/>
      <c r="K707" s="31"/>
      <c r="L707" s="32"/>
      <c r="M707" s="29"/>
      <c r="N707" s="29"/>
      <c r="O707" s="29"/>
      <c r="P707" s="29"/>
      <c r="Q707" s="29"/>
      <c r="R707" s="29"/>
      <c r="S707" s="37"/>
      <c r="T707" s="29"/>
      <c r="U707" s="29"/>
    </row>
    <row r="708" spans="3:21" ht="16.5" customHeight="1">
      <c r="C708" s="29"/>
      <c r="D708" s="29"/>
      <c r="E708" s="29"/>
      <c r="H708" s="29"/>
      <c r="I708" s="29"/>
      <c r="J708" s="29"/>
      <c r="K708" s="31"/>
      <c r="L708" s="32"/>
      <c r="M708" s="29"/>
      <c r="N708" s="29"/>
      <c r="O708" s="29"/>
      <c r="P708" s="29"/>
      <c r="Q708" s="29"/>
      <c r="R708" s="29"/>
      <c r="S708" s="37"/>
      <c r="T708" s="29"/>
      <c r="U708" s="29"/>
    </row>
    <row r="709" spans="3:21" ht="16.5" customHeight="1">
      <c r="C709" s="29"/>
      <c r="D709" s="29"/>
      <c r="E709" s="29"/>
      <c r="H709" s="29"/>
      <c r="I709" s="29"/>
      <c r="J709" s="29"/>
      <c r="K709" s="31"/>
      <c r="L709" s="32"/>
      <c r="M709" s="29"/>
      <c r="N709" s="29"/>
      <c r="O709" s="29"/>
      <c r="P709" s="29"/>
      <c r="Q709" s="29"/>
      <c r="R709" s="29"/>
      <c r="S709" s="37"/>
      <c r="T709" s="29"/>
      <c r="U709" s="29"/>
    </row>
    <row r="710" spans="3:21" ht="16.5" customHeight="1">
      <c r="C710" s="29"/>
      <c r="D710" s="29"/>
      <c r="E710" s="29"/>
      <c r="H710" s="29"/>
      <c r="I710" s="29"/>
      <c r="J710" s="29"/>
      <c r="K710" s="31"/>
      <c r="L710" s="32"/>
      <c r="M710" s="29"/>
      <c r="N710" s="29"/>
      <c r="O710" s="29"/>
      <c r="P710" s="29"/>
      <c r="Q710" s="29"/>
      <c r="R710" s="29"/>
      <c r="S710" s="37"/>
      <c r="T710" s="29"/>
      <c r="U710" s="29"/>
    </row>
    <row r="711" spans="3:21" ht="16.5" customHeight="1">
      <c r="C711" s="29"/>
      <c r="D711" s="29"/>
      <c r="E711" s="29"/>
      <c r="H711" s="29"/>
      <c r="I711" s="29"/>
      <c r="J711" s="29"/>
      <c r="K711" s="31"/>
      <c r="L711" s="32"/>
      <c r="M711" s="29"/>
      <c r="N711" s="29"/>
      <c r="O711" s="29"/>
      <c r="P711" s="29"/>
      <c r="Q711" s="29"/>
      <c r="R711" s="29"/>
      <c r="S711" s="37"/>
      <c r="T711" s="29"/>
      <c r="U711" s="29"/>
    </row>
    <row r="712" spans="3:21" ht="16.5" customHeight="1">
      <c r="C712" s="29"/>
      <c r="D712" s="29"/>
      <c r="E712" s="29"/>
      <c r="H712" s="29"/>
      <c r="I712" s="29"/>
      <c r="J712" s="29"/>
      <c r="K712" s="31"/>
      <c r="L712" s="32"/>
      <c r="M712" s="29"/>
      <c r="N712" s="29"/>
      <c r="O712" s="29"/>
      <c r="P712" s="29"/>
      <c r="Q712" s="29"/>
      <c r="R712" s="29"/>
      <c r="S712" s="37"/>
      <c r="T712" s="29"/>
      <c r="U712" s="29"/>
    </row>
    <row r="713" spans="3:21" ht="16.5" customHeight="1">
      <c r="C713" s="29"/>
      <c r="D713" s="29"/>
      <c r="E713" s="29"/>
      <c r="H713" s="29"/>
      <c r="I713" s="29"/>
      <c r="J713" s="29"/>
      <c r="K713" s="31"/>
      <c r="L713" s="32"/>
      <c r="M713" s="29"/>
      <c r="N713" s="29"/>
      <c r="O713" s="29"/>
      <c r="P713" s="29"/>
      <c r="Q713" s="29"/>
      <c r="R713" s="29"/>
      <c r="S713" s="37"/>
      <c r="T713" s="29"/>
      <c r="U713" s="29"/>
    </row>
    <row r="714" spans="3:21" ht="16.5" customHeight="1">
      <c r="C714" s="29"/>
      <c r="D714" s="29"/>
      <c r="E714" s="29"/>
      <c r="H714" s="29"/>
      <c r="I714" s="29"/>
      <c r="J714" s="29"/>
      <c r="K714" s="31"/>
      <c r="L714" s="32"/>
      <c r="M714" s="29"/>
      <c r="N714" s="29"/>
      <c r="O714" s="29"/>
      <c r="P714" s="29"/>
      <c r="Q714" s="29"/>
      <c r="R714" s="29"/>
      <c r="S714" s="37"/>
      <c r="T714" s="29"/>
      <c r="U714" s="29"/>
    </row>
    <row r="715" spans="3:21" ht="16.5" customHeight="1">
      <c r="C715" s="29"/>
      <c r="D715" s="29"/>
      <c r="E715" s="29"/>
      <c r="H715" s="29"/>
      <c r="I715" s="29"/>
      <c r="J715" s="29"/>
      <c r="K715" s="31"/>
      <c r="L715" s="32"/>
      <c r="M715" s="29"/>
      <c r="N715" s="29"/>
      <c r="O715" s="29"/>
      <c r="P715" s="29"/>
      <c r="Q715" s="29"/>
      <c r="R715" s="29"/>
      <c r="S715" s="37"/>
      <c r="T715" s="29"/>
      <c r="U715" s="29"/>
    </row>
    <row r="716" spans="3:21" ht="16.5" customHeight="1">
      <c r="C716" s="29"/>
      <c r="D716" s="29"/>
      <c r="E716" s="29"/>
      <c r="H716" s="29"/>
      <c r="I716" s="29"/>
      <c r="J716" s="29"/>
      <c r="K716" s="31"/>
      <c r="L716" s="32"/>
      <c r="M716" s="29"/>
      <c r="N716" s="29"/>
      <c r="O716" s="29"/>
      <c r="P716" s="29"/>
      <c r="Q716" s="29"/>
      <c r="R716" s="29"/>
      <c r="S716" s="37"/>
      <c r="T716" s="29"/>
      <c r="U716" s="29"/>
    </row>
    <row r="717" spans="3:21" ht="16.5" customHeight="1">
      <c r="C717" s="29"/>
      <c r="D717" s="29"/>
      <c r="E717" s="29"/>
      <c r="H717" s="29"/>
      <c r="I717" s="29"/>
      <c r="J717" s="29"/>
      <c r="K717" s="31"/>
      <c r="L717" s="32"/>
      <c r="M717" s="29"/>
      <c r="N717" s="29"/>
      <c r="O717" s="29"/>
      <c r="P717" s="29"/>
      <c r="Q717" s="29"/>
      <c r="R717" s="29"/>
      <c r="S717" s="37"/>
      <c r="T717" s="29"/>
      <c r="U717" s="29"/>
    </row>
    <row r="718" spans="3:21" ht="16.5" customHeight="1">
      <c r="C718" s="29"/>
      <c r="D718" s="29"/>
      <c r="E718" s="29"/>
      <c r="H718" s="29"/>
      <c r="I718" s="29"/>
      <c r="J718" s="29"/>
      <c r="K718" s="31"/>
      <c r="L718" s="32"/>
      <c r="M718" s="29"/>
      <c r="N718" s="29"/>
      <c r="O718" s="29"/>
      <c r="P718" s="29"/>
      <c r="Q718" s="29"/>
      <c r="R718" s="29"/>
      <c r="S718" s="37"/>
      <c r="T718" s="29"/>
      <c r="U718" s="29"/>
    </row>
    <row r="719" spans="3:21" ht="16.5" customHeight="1">
      <c r="C719" s="29"/>
      <c r="D719" s="29"/>
      <c r="E719" s="29"/>
      <c r="H719" s="29"/>
      <c r="I719" s="29"/>
      <c r="J719" s="29"/>
      <c r="K719" s="31"/>
      <c r="L719" s="32"/>
      <c r="M719" s="29"/>
      <c r="N719" s="29"/>
      <c r="O719" s="29"/>
      <c r="P719" s="29"/>
      <c r="Q719" s="29"/>
      <c r="R719" s="29"/>
      <c r="S719" s="37"/>
      <c r="T719" s="29"/>
      <c r="U719" s="29"/>
    </row>
    <row r="720" spans="3:21" ht="16.5" customHeight="1">
      <c r="C720" s="29"/>
      <c r="D720" s="29"/>
      <c r="E720" s="29"/>
      <c r="H720" s="29"/>
      <c r="I720" s="29"/>
      <c r="J720" s="29"/>
      <c r="K720" s="31"/>
      <c r="L720" s="32"/>
      <c r="M720" s="29"/>
      <c r="N720" s="29"/>
      <c r="O720" s="29"/>
      <c r="P720" s="29"/>
      <c r="Q720" s="29"/>
      <c r="R720" s="29"/>
      <c r="S720" s="37"/>
      <c r="T720" s="29"/>
      <c r="U720" s="29"/>
    </row>
    <row r="721" spans="3:21" ht="16.5" customHeight="1">
      <c r="C721" s="29"/>
      <c r="D721" s="29"/>
      <c r="E721" s="29"/>
      <c r="H721" s="29"/>
      <c r="I721" s="29"/>
      <c r="J721" s="29"/>
      <c r="K721" s="31"/>
      <c r="L721" s="32"/>
      <c r="M721" s="29"/>
      <c r="N721" s="29"/>
      <c r="O721" s="29"/>
      <c r="P721" s="29"/>
      <c r="Q721" s="29"/>
      <c r="R721" s="29"/>
      <c r="S721" s="37"/>
      <c r="T721" s="29"/>
      <c r="U721" s="29"/>
    </row>
    <row r="722" spans="3:21" ht="16.5" customHeight="1">
      <c r="C722" s="29"/>
      <c r="D722" s="29"/>
      <c r="E722" s="29"/>
      <c r="H722" s="29"/>
      <c r="I722" s="29"/>
      <c r="J722" s="29"/>
      <c r="K722" s="31"/>
      <c r="L722" s="32"/>
      <c r="M722" s="29"/>
      <c r="N722" s="29"/>
      <c r="O722" s="29"/>
      <c r="P722" s="29"/>
      <c r="Q722" s="29"/>
      <c r="R722" s="29"/>
      <c r="S722" s="37"/>
      <c r="T722" s="29"/>
      <c r="U722" s="29"/>
    </row>
    <row r="723" spans="3:21" ht="16.5" customHeight="1">
      <c r="C723" s="29"/>
      <c r="D723" s="29"/>
      <c r="E723" s="29"/>
      <c r="H723" s="29"/>
      <c r="I723" s="29"/>
      <c r="J723" s="29"/>
      <c r="K723" s="31"/>
      <c r="L723" s="32"/>
      <c r="M723" s="29"/>
      <c r="N723" s="29"/>
      <c r="O723" s="29"/>
      <c r="P723" s="29"/>
      <c r="Q723" s="29"/>
      <c r="R723" s="29"/>
      <c r="S723" s="37"/>
      <c r="T723" s="29"/>
      <c r="U723" s="29"/>
    </row>
    <row r="724" spans="3:21" ht="16.5" customHeight="1">
      <c r="C724" s="29"/>
      <c r="D724" s="29"/>
      <c r="E724" s="29"/>
      <c r="H724" s="29"/>
      <c r="I724" s="29"/>
      <c r="J724" s="29"/>
      <c r="K724" s="31"/>
      <c r="L724" s="32"/>
      <c r="M724" s="29"/>
      <c r="N724" s="29"/>
      <c r="O724" s="29"/>
      <c r="P724" s="29"/>
      <c r="Q724" s="29"/>
      <c r="R724" s="29"/>
      <c r="S724" s="37"/>
      <c r="T724" s="29"/>
      <c r="U724" s="29"/>
    </row>
    <row r="725" spans="3:21" ht="16.5" customHeight="1">
      <c r="C725" s="29"/>
      <c r="D725" s="29"/>
      <c r="E725" s="29"/>
      <c r="H725" s="29"/>
      <c r="I725" s="29"/>
      <c r="J725" s="29"/>
      <c r="K725" s="31"/>
      <c r="L725" s="32"/>
      <c r="M725" s="29"/>
      <c r="N725" s="29"/>
      <c r="O725" s="29"/>
      <c r="P725" s="29"/>
      <c r="Q725" s="29"/>
      <c r="R725" s="29"/>
      <c r="S725" s="37"/>
      <c r="T725" s="29"/>
      <c r="U725" s="29"/>
    </row>
    <row r="726" spans="3:21" ht="16.5" customHeight="1">
      <c r="C726" s="29"/>
      <c r="D726" s="29"/>
      <c r="E726" s="29"/>
      <c r="H726" s="29"/>
      <c r="I726" s="29"/>
      <c r="J726" s="29"/>
      <c r="K726" s="31"/>
      <c r="L726" s="32"/>
      <c r="M726" s="29"/>
      <c r="N726" s="29"/>
      <c r="O726" s="29"/>
      <c r="P726" s="29"/>
      <c r="Q726" s="29"/>
      <c r="R726" s="29"/>
      <c r="S726" s="37"/>
      <c r="T726" s="29"/>
      <c r="U726" s="29"/>
    </row>
    <row r="727" spans="3:21" ht="16.5" customHeight="1">
      <c r="C727" s="29"/>
      <c r="D727" s="29"/>
      <c r="E727" s="29"/>
      <c r="H727" s="29"/>
      <c r="I727" s="29"/>
      <c r="J727" s="29"/>
      <c r="K727" s="31"/>
      <c r="L727" s="32"/>
      <c r="M727" s="29"/>
      <c r="N727" s="29"/>
      <c r="O727" s="29"/>
      <c r="P727" s="29"/>
      <c r="Q727" s="29"/>
      <c r="R727" s="29"/>
      <c r="S727" s="37"/>
      <c r="T727" s="29"/>
      <c r="U727" s="29"/>
    </row>
    <row r="728" spans="3:21" ht="16.5" customHeight="1">
      <c r="C728" s="29"/>
      <c r="D728" s="29"/>
      <c r="E728" s="29"/>
      <c r="H728" s="29"/>
      <c r="I728" s="29"/>
      <c r="J728" s="29"/>
      <c r="K728" s="31"/>
      <c r="L728" s="32"/>
      <c r="M728" s="29"/>
      <c r="N728" s="29"/>
      <c r="O728" s="29"/>
      <c r="P728" s="29"/>
      <c r="Q728" s="29"/>
      <c r="R728" s="29"/>
      <c r="S728" s="37"/>
      <c r="T728" s="29"/>
      <c r="U728" s="29"/>
    </row>
    <row r="729" spans="3:21" ht="16.5" customHeight="1">
      <c r="C729" s="29"/>
      <c r="D729" s="29"/>
      <c r="E729" s="29"/>
      <c r="H729" s="29"/>
      <c r="I729" s="29"/>
      <c r="J729" s="29"/>
      <c r="K729" s="31"/>
      <c r="L729" s="32"/>
      <c r="M729" s="29"/>
      <c r="N729" s="29"/>
      <c r="O729" s="29"/>
      <c r="P729" s="29"/>
      <c r="Q729" s="29"/>
      <c r="R729" s="29"/>
      <c r="S729" s="37"/>
      <c r="T729" s="29"/>
      <c r="U729" s="29"/>
    </row>
    <row r="730" spans="3:21" ht="16.5" customHeight="1">
      <c r="C730" s="29"/>
      <c r="D730" s="29"/>
      <c r="E730" s="29"/>
      <c r="H730" s="29"/>
      <c r="I730" s="29"/>
      <c r="J730" s="29"/>
      <c r="K730" s="31"/>
      <c r="L730" s="32"/>
      <c r="M730" s="29"/>
      <c r="N730" s="29"/>
      <c r="O730" s="29"/>
      <c r="P730" s="29"/>
      <c r="Q730" s="29"/>
      <c r="R730" s="29"/>
      <c r="S730" s="37"/>
      <c r="T730" s="29"/>
      <c r="U730" s="29"/>
    </row>
    <row r="731" spans="3:21" ht="16.5" customHeight="1">
      <c r="C731" s="29"/>
      <c r="D731" s="29"/>
      <c r="E731" s="29"/>
      <c r="H731" s="29"/>
      <c r="I731" s="29"/>
      <c r="J731" s="29"/>
      <c r="K731" s="31"/>
      <c r="L731" s="32"/>
      <c r="M731" s="29"/>
      <c r="N731" s="29"/>
      <c r="O731" s="29"/>
      <c r="P731" s="29"/>
      <c r="Q731" s="29"/>
      <c r="R731" s="29"/>
      <c r="S731" s="37"/>
      <c r="T731" s="29"/>
      <c r="U731" s="29"/>
    </row>
    <row r="732" spans="3:21" ht="16.5" customHeight="1">
      <c r="C732" s="29"/>
      <c r="D732" s="29"/>
      <c r="E732" s="29"/>
      <c r="H732" s="29"/>
      <c r="I732" s="29"/>
      <c r="J732" s="29"/>
      <c r="K732" s="31"/>
      <c r="L732" s="32"/>
      <c r="M732" s="29"/>
      <c r="N732" s="29"/>
      <c r="O732" s="29"/>
      <c r="P732" s="29"/>
      <c r="Q732" s="29"/>
      <c r="R732" s="29"/>
      <c r="S732" s="37"/>
      <c r="T732" s="29"/>
      <c r="U732" s="29"/>
    </row>
    <row r="733" spans="3:21" ht="16.5" customHeight="1">
      <c r="C733" s="29"/>
      <c r="D733" s="29"/>
      <c r="E733" s="29"/>
      <c r="H733" s="29"/>
      <c r="I733" s="29"/>
      <c r="J733" s="29"/>
      <c r="K733" s="31"/>
      <c r="L733" s="32"/>
      <c r="M733" s="29"/>
      <c r="N733" s="29"/>
      <c r="O733" s="29"/>
      <c r="P733" s="29"/>
      <c r="Q733" s="29"/>
      <c r="R733" s="29"/>
      <c r="S733" s="37"/>
      <c r="T733" s="29"/>
      <c r="U733" s="29"/>
    </row>
    <row r="734" spans="3:21" ht="16.5" customHeight="1">
      <c r="C734" s="29"/>
      <c r="D734" s="29"/>
      <c r="E734" s="29"/>
      <c r="H734" s="29"/>
      <c r="I734" s="29"/>
      <c r="J734" s="29"/>
      <c r="K734" s="31"/>
      <c r="L734" s="32"/>
      <c r="M734" s="29"/>
      <c r="N734" s="29"/>
      <c r="O734" s="29"/>
      <c r="P734" s="29"/>
      <c r="Q734" s="29"/>
      <c r="R734" s="29"/>
      <c r="S734" s="37"/>
      <c r="T734" s="29"/>
      <c r="U734" s="29"/>
    </row>
    <row r="735" spans="3:21" ht="16.5" customHeight="1">
      <c r="C735" s="29"/>
      <c r="D735" s="29"/>
      <c r="E735" s="29"/>
      <c r="H735" s="29"/>
      <c r="I735" s="29"/>
      <c r="J735" s="29"/>
      <c r="K735" s="31"/>
      <c r="L735" s="32"/>
      <c r="M735" s="29"/>
      <c r="N735" s="29"/>
      <c r="O735" s="29"/>
      <c r="P735" s="29"/>
      <c r="Q735" s="29"/>
      <c r="R735" s="29"/>
      <c r="S735" s="37"/>
      <c r="T735" s="29"/>
      <c r="U735" s="29"/>
    </row>
    <row r="736" spans="3:21" ht="16.5" customHeight="1">
      <c r="C736" s="29"/>
      <c r="D736" s="29"/>
      <c r="E736" s="29"/>
      <c r="H736" s="29"/>
      <c r="I736" s="29"/>
      <c r="J736" s="29"/>
      <c r="K736" s="31"/>
      <c r="L736" s="32"/>
      <c r="M736" s="29"/>
      <c r="N736" s="29"/>
      <c r="O736" s="29"/>
      <c r="P736" s="29"/>
      <c r="Q736" s="29"/>
      <c r="R736" s="29"/>
      <c r="S736" s="37"/>
      <c r="T736" s="29"/>
      <c r="U736" s="29"/>
    </row>
    <row r="737" spans="3:21" ht="16.5" customHeight="1">
      <c r="C737" s="29"/>
      <c r="D737" s="29"/>
      <c r="E737" s="29"/>
      <c r="H737" s="29"/>
      <c r="I737" s="29"/>
      <c r="J737" s="29"/>
      <c r="K737" s="31"/>
      <c r="L737" s="32"/>
      <c r="M737" s="29"/>
      <c r="N737" s="29"/>
      <c r="O737" s="29"/>
      <c r="P737" s="29"/>
      <c r="Q737" s="29"/>
      <c r="R737" s="29"/>
      <c r="S737" s="37"/>
      <c r="T737" s="29"/>
      <c r="U737" s="29"/>
    </row>
    <row r="738" spans="3:21" ht="16.5" customHeight="1">
      <c r="C738" s="29"/>
      <c r="D738" s="29"/>
      <c r="E738" s="29"/>
      <c r="H738" s="29"/>
      <c r="I738" s="29"/>
      <c r="J738" s="29"/>
      <c r="K738" s="31"/>
      <c r="L738" s="32"/>
      <c r="M738" s="29"/>
      <c r="N738" s="29"/>
      <c r="O738" s="29"/>
      <c r="P738" s="29"/>
      <c r="Q738" s="29"/>
      <c r="R738" s="29"/>
      <c r="S738" s="37"/>
      <c r="T738" s="29"/>
      <c r="U738" s="29"/>
    </row>
    <row r="739" spans="3:21" ht="16.5" customHeight="1">
      <c r="C739" s="29"/>
      <c r="D739" s="29"/>
      <c r="E739" s="29"/>
      <c r="H739" s="29"/>
      <c r="I739" s="29"/>
      <c r="J739" s="29"/>
      <c r="K739" s="31"/>
      <c r="L739" s="32"/>
      <c r="M739" s="29"/>
      <c r="N739" s="29"/>
      <c r="O739" s="29"/>
      <c r="P739" s="29"/>
      <c r="Q739" s="29"/>
      <c r="R739" s="29"/>
      <c r="S739" s="37"/>
      <c r="T739" s="29"/>
      <c r="U739" s="29"/>
    </row>
    <row r="740" spans="3:21" ht="16.5" customHeight="1">
      <c r="C740" s="29"/>
      <c r="D740" s="29"/>
      <c r="E740" s="29"/>
      <c r="H740" s="29"/>
      <c r="I740" s="29"/>
      <c r="J740" s="29"/>
      <c r="K740" s="31"/>
      <c r="L740" s="32"/>
      <c r="M740" s="29"/>
      <c r="N740" s="29"/>
      <c r="O740" s="29"/>
      <c r="P740" s="29"/>
      <c r="Q740" s="29"/>
      <c r="R740" s="29"/>
      <c r="S740" s="37"/>
      <c r="T740" s="29"/>
      <c r="U740" s="29"/>
    </row>
    <row r="741" spans="3:21" ht="16.5" customHeight="1">
      <c r="C741" s="29"/>
      <c r="D741" s="29"/>
      <c r="E741" s="29"/>
      <c r="H741" s="29"/>
      <c r="I741" s="29"/>
      <c r="J741" s="29"/>
      <c r="K741" s="31"/>
      <c r="L741" s="32"/>
      <c r="M741" s="29"/>
      <c r="N741" s="29"/>
      <c r="O741" s="29"/>
      <c r="P741" s="29"/>
      <c r="Q741" s="29"/>
      <c r="R741" s="29"/>
      <c r="S741" s="37"/>
      <c r="T741" s="29"/>
      <c r="U741" s="29"/>
    </row>
    <row r="742" spans="3:21" ht="16.5" customHeight="1">
      <c r="C742" s="29"/>
      <c r="D742" s="29"/>
      <c r="E742" s="29"/>
      <c r="H742" s="29"/>
      <c r="I742" s="29"/>
      <c r="J742" s="29"/>
      <c r="K742" s="31"/>
      <c r="L742" s="32"/>
      <c r="M742" s="29"/>
      <c r="N742" s="29"/>
      <c r="O742" s="29"/>
      <c r="P742" s="29"/>
      <c r="Q742" s="29"/>
      <c r="R742" s="29"/>
      <c r="S742" s="37"/>
      <c r="T742" s="29"/>
      <c r="U742" s="29"/>
    </row>
    <row r="743" spans="3:21" ht="16.5" customHeight="1">
      <c r="C743" s="29"/>
      <c r="D743" s="29"/>
      <c r="E743" s="29"/>
      <c r="H743" s="29"/>
      <c r="I743" s="29"/>
      <c r="J743" s="29"/>
      <c r="K743" s="31"/>
      <c r="L743" s="32"/>
      <c r="M743" s="29"/>
      <c r="N743" s="29"/>
      <c r="O743" s="29"/>
      <c r="P743" s="29"/>
      <c r="Q743" s="29"/>
      <c r="R743" s="29"/>
      <c r="S743" s="37"/>
      <c r="T743" s="29"/>
      <c r="U743" s="29"/>
    </row>
    <row r="744" spans="3:21" ht="16.5" customHeight="1">
      <c r="C744" s="29"/>
      <c r="D744" s="29"/>
      <c r="E744" s="29"/>
      <c r="H744" s="29"/>
      <c r="I744" s="29"/>
      <c r="J744" s="29"/>
      <c r="K744" s="31"/>
      <c r="L744" s="32"/>
      <c r="M744" s="29"/>
      <c r="N744" s="29"/>
      <c r="O744" s="29"/>
      <c r="P744" s="29"/>
      <c r="Q744" s="29"/>
      <c r="R744" s="29"/>
      <c r="S744" s="37"/>
      <c r="T744" s="29"/>
      <c r="U744" s="29"/>
    </row>
    <row r="745" spans="3:21" ht="16.5" customHeight="1">
      <c r="C745" s="29"/>
      <c r="D745" s="29"/>
      <c r="E745" s="29"/>
      <c r="H745" s="29"/>
      <c r="I745" s="29"/>
      <c r="J745" s="29"/>
      <c r="K745" s="31"/>
      <c r="L745" s="32"/>
      <c r="M745" s="29"/>
      <c r="N745" s="29"/>
      <c r="O745" s="29"/>
      <c r="P745" s="29"/>
      <c r="Q745" s="29"/>
      <c r="R745" s="29"/>
      <c r="S745" s="37"/>
      <c r="T745" s="29"/>
      <c r="U745" s="29"/>
    </row>
    <row r="746" spans="3:21" ht="16.5" customHeight="1">
      <c r="C746" s="29"/>
      <c r="D746" s="29"/>
      <c r="E746" s="29"/>
      <c r="H746" s="29"/>
      <c r="I746" s="29"/>
      <c r="J746" s="29"/>
      <c r="K746" s="31"/>
      <c r="L746" s="32"/>
      <c r="M746" s="29"/>
      <c r="N746" s="29"/>
      <c r="O746" s="29"/>
      <c r="P746" s="29"/>
      <c r="Q746" s="29"/>
      <c r="R746" s="29"/>
      <c r="S746" s="37"/>
      <c r="T746" s="29"/>
      <c r="U746" s="29"/>
    </row>
    <row r="747" spans="3:21" ht="16.5" customHeight="1">
      <c r="C747" s="29"/>
      <c r="D747" s="29"/>
      <c r="E747" s="29"/>
      <c r="H747" s="29"/>
      <c r="I747" s="29"/>
      <c r="J747" s="29"/>
      <c r="K747" s="31"/>
      <c r="L747" s="32"/>
      <c r="M747" s="29"/>
      <c r="N747" s="29"/>
      <c r="O747" s="29"/>
      <c r="P747" s="29"/>
      <c r="Q747" s="29"/>
      <c r="R747" s="29"/>
      <c r="S747" s="37"/>
      <c r="T747" s="29"/>
      <c r="U747" s="29"/>
    </row>
    <row r="748" spans="3:21" ht="16.5" customHeight="1">
      <c r="C748" s="29"/>
      <c r="D748" s="29"/>
      <c r="E748" s="29"/>
      <c r="H748" s="29"/>
      <c r="I748" s="29"/>
      <c r="J748" s="29"/>
      <c r="K748" s="31"/>
      <c r="L748" s="32"/>
      <c r="M748" s="29"/>
      <c r="N748" s="29"/>
      <c r="O748" s="29"/>
      <c r="P748" s="29"/>
      <c r="Q748" s="29"/>
      <c r="R748" s="29"/>
      <c r="S748" s="37"/>
      <c r="T748" s="29"/>
      <c r="U748" s="29"/>
    </row>
    <row r="749" spans="3:21" ht="16.5" customHeight="1">
      <c r="C749" s="29"/>
      <c r="D749" s="29"/>
      <c r="E749" s="29"/>
      <c r="H749" s="29"/>
      <c r="I749" s="29"/>
      <c r="J749" s="29"/>
      <c r="K749" s="31"/>
      <c r="L749" s="32"/>
      <c r="M749" s="29"/>
      <c r="N749" s="29"/>
      <c r="O749" s="29"/>
      <c r="P749" s="29"/>
      <c r="Q749" s="29"/>
      <c r="R749" s="29"/>
      <c r="S749" s="37"/>
      <c r="T749" s="29"/>
      <c r="U749" s="29"/>
    </row>
    <row r="750" spans="3:21" ht="16.5" customHeight="1">
      <c r="C750" s="29"/>
      <c r="D750" s="29"/>
      <c r="E750" s="29"/>
      <c r="H750" s="29"/>
      <c r="I750" s="29"/>
      <c r="J750" s="29"/>
      <c r="K750" s="31"/>
      <c r="L750" s="32"/>
      <c r="M750" s="29"/>
      <c r="N750" s="29"/>
      <c r="O750" s="29"/>
      <c r="P750" s="29"/>
      <c r="Q750" s="29"/>
      <c r="R750" s="29"/>
      <c r="S750" s="37"/>
      <c r="T750" s="29"/>
      <c r="U750" s="29"/>
    </row>
    <row r="751" spans="3:21" ht="16.5" customHeight="1">
      <c r="C751" s="29"/>
      <c r="D751" s="29"/>
      <c r="E751" s="29"/>
      <c r="H751" s="29"/>
      <c r="I751" s="29"/>
      <c r="J751" s="29"/>
      <c r="K751" s="31"/>
      <c r="L751" s="32"/>
      <c r="M751" s="29"/>
      <c r="N751" s="29"/>
      <c r="O751" s="29"/>
      <c r="P751" s="29"/>
      <c r="Q751" s="29"/>
      <c r="R751" s="29"/>
      <c r="S751" s="37"/>
      <c r="T751" s="29"/>
      <c r="U751" s="29"/>
    </row>
    <row r="752" spans="3:21" ht="16.5" customHeight="1">
      <c r="C752" s="29"/>
      <c r="D752" s="29"/>
      <c r="E752" s="29"/>
      <c r="H752" s="29"/>
      <c r="I752" s="29"/>
      <c r="J752" s="29"/>
      <c r="K752" s="31"/>
      <c r="L752" s="32"/>
      <c r="M752" s="29"/>
      <c r="N752" s="29"/>
      <c r="O752" s="29"/>
      <c r="P752" s="29"/>
      <c r="Q752" s="29"/>
      <c r="R752" s="29"/>
      <c r="S752" s="37"/>
      <c r="T752" s="29"/>
      <c r="U752" s="29"/>
    </row>
    <row r="753" spans="3:21" ht="16.5" customHeight="1">
      <c r="C753" s="29"/>
      <c r="D753" s="29"/>
      <c r="E753" s="29"/>
      <c r="H753" s="29"/>
      <c r="I753" s="29"/>
      <c r="J753" s="29"/>
      <c r="K753" s="31"/>
      <c r="L753" s="32"/>
      <c r="M753" s="29"/>
      <c r="N753" s="29"/>
      <c r="O753" s="29"/>
      <c r="P753" s="29"/>
      <c r="Q753" s="29"/>
      <c r="R753" s="29"/>
      <c r="S753" s="37"/>
      <c r="T753" s="29"/>
      <c r="U753" s="29"/>
    </row>
    <row r="754" spans="3:21" ht="16.5" customHeight="1">
      <c r="C754" s="29"/>
      <c r="D754" s="29"/>
      <c r="E754" s="29"/>
      <c r="H754" s="29"/>
      <c r="I754" s="29"/>
      <c r="J754" s="29"/>
      <c r="K754" s="31"/>
      <c r="L754" s="32"/>
      <c r="M754" s="29"/>
      <c r="N754" s="29"/>
      <c r="O754" s="29"/>
      <c r="P754" s="29"/>
      <c r="Q754" s="29"/>
      <c r="R754" s="29"/>
      <c r="S754" s="37"/>
      <c r="T754" s="29"/>
      <c r="U754" s="29"/>
    </row>
    <row r="755" spans="3:21" ht="16.5" customHeight="1">
      <c r="C755" s="29"/>
      <c r="D755" s="29"/>
      <c r="E755" s="29"/>
      <c r="H755" s="29"/>
      <c r="I755" s="29"/>
      <c r="J755" s="29"/>
      <c r="K755" s="31"/>
      <c r="L755" s="32"/>
      <c r="M755" s="29"/>
      <c r="N755" s="29"/>
      <c r="O755" s="29"/>
      <c r="P755" s="29"/>
      <c r="Q755" s="29"/>
      <c r="R755" s="29"/>
      <c r="S755" s="37"/>
      <c r="T755" s="29"/>
      <c r="U755" s="29"/>
    </row>
    <row r="756" spans="3:21" ht="16.5" customHeight="1">
      <c r="C756" s="29"/>
      <c r="D756" s="29"/>
      <c r="E756" s="29"/>
      <c r="H756" s="29"/>
      <c r="I756" s="29"/>
      <c r="J756" s="29"/>
      <c r="K756" s="31"/>
      <c r="L756" s="32"/>
      <c r="M756" s="29"/>
      <c r="N756" s="29"/>
      <c r="O756" s="29"/>
      <c r="P756" s="29"/>
      <c r="Q756" s="29"/>
      <c r="R756" s="29"/>
      <c r="S756" s="37"/>
      <c r="T756" s="29"/>
      <c r="U756" s="29"/>
    </row>
    <row r="757" spans="3:21" ht="16.5" customHeight="1">
      <c r="C757" s="29"/>
      <c r="D757" s="29"/>
      <c r="E757" s="29"/>
      <c r="H757" s="29"/>
      <c r="I757" s="29"/>
      <c r="J757" s="29"/>
      <c r="K757" s="31"/>
      <c r="L757" s="32"/>
      <c r="M757" s="29"/>
      <c r="N757" s="29"/>
      <c r="O757" s="29"/>
      <c r="P757" s="29"/>
      <c r="Q757" s="29"/>
      <c r="R757" s="29"/>
      <c r="S757" s="37"/>
      <c r="T757" s="29"/>
      <c r="U757" s="29"/>
    </row>
    <row r="758" spans="3:21" ht="16.5" customHeight="1">
      <c r="C758" s="29"/>
      <c r="D758" s="29"/>
      <c r="E758" s="29"/>
      <c r="H758" s="29"/>
      <c r="I758" s="29"/>
      <c r="J758" s="29"/>
      <c r="K758" s="31"/>
      <c r="L758" s="32"/>
      <c r="M758" s="29"/>
      <c r="N758" s="29"/>
      <c r="O758" s="29"/>
      <c r="P758" s="29"/>
      <c r="Q758" s="29"/>
      <c r="R758" s="29"/>
      <c r="S758" s="37"/>
      <c r="T758" s="29"/>
      <c r="U758" s="29"/>
    </row>
    <row r="759" spans="3:21" ht="16.5" customHeight="1">
      <c r="C759" s="29"/>
      <c r="D759" s="29"/>
      <c r="E759" s="29"/>
      <c r="H759" s="29"/>
      <c r="I759" s="29"/>
      <c r="J759" s="29"/>
      <c r="K759" s="31"/>
      <c r="L759" s="32"/>
      <c r="M759" s="29"/>
      <c r="N759" s="29"/>
      <c r="O759" s="29"/>
      <c r="P759" s="29"/>
      <c r="Q759" s="29"/>
      <c r="R759" s="29"/>
      <c r="S759" s="37"/>
      <c r="T759" s="29"/>
      <c r="U759" s="29"/>
    </row>
    <row r="760" spans="3:21" ht="16.5" customHeight="1">
      <c r="C760" s="29"/>
      <c r="D760" s="29"/>
      <c r="E760" s="29"/>
      <c r="H760" s="29"/>
      <c r="I760" s="29"/>
      <c r="J760" s="29"/>
      <c r="K760" s="31"/>
      <c r="L760" s="32"/>
      <c r="M760" s="29"/>
      <c r="N760" s="29"/>
      <c r="O760" s="29"/>
      <c r="P760" s="29"/>
      <c r="Q760" s="29"/>
      <c r="R760" s="29"/>
      <c r="S760" s="37"/>
      <c r="T760" s="29"/>
      <c r="U760" s="29"/>
    </row>
    <row r="761" spans="3:21" ht="16.5" customHeight="1">
      <c r="C761" s="29"/>
      <c r="D761" s="29"/>
      <c r="E761" s="29"/>
      <c r="H761" s="29"/>
      <c r="I761" s="29"/>
      <c r="J761" s="29"/>
      <c r="K761" s="31"/>
      <c r="L761" s="32"/>
      <c r="M761" s="29"/>
      <c r="N761" s="29"/>
      <c r="O761" s="29"/>
      <c r="P761" s="29"/>
      <c r="Q761" s="29"/>
      <c r="R761" s="29"/>
      <c r="S761" s="37"/>
      <c r="T761" s="29"/>
      <c r="U761" s="29"/>
    </row>
    <row r="762" spans="3:21" ht="16.5" customHeight="1">
      <c r="C762" s="29"/>
      <c r="D762" s="29"/>
      <c r="E762" s="29"/>
      <c r="H762" s="29"/>
      <c r="I762" s="29"/>
      <c r="J762" s="29"/>
      <c r="K762" s="31"/>
      <c r="L762" s="32"/>
      <c r="M762" s="29"/>
      <c r="N762" s="29"/>
      <c r="O762" s="29"/>
      <c r="P762" s="29"/>
      <c r="Q762" s="29"/>
      <c r="R762" s="29"/>
      <c r="S762" s="37"/>
      <c r="T762" s="29"/>
      <c r="U762" s="29"/>
    </row>
    <row r="763" spans="3:21" ht="16.5" customHeight="1">
      <c r="C763" s="29"/>
      <c r="D763" s="29"/>
      <c r="E763" s="29"/>
      <c r="H763" s="29"/>
      <c r="I763" s="29"/>
      <c r="J763" s="29"/>
      <c r="K763" s="31"/>
      <c r="L763" s="32"/>
      <c r="M763" s="29"/>
      <c r="N763" s="29"/>
      <c r="O763" s="29"/>
      <c r="P763" s="29"/>
      <c r="Q763" s="29"/>
      <c r="R763" s="29"/>
      <c r="S763" s="37"/>
      <c r="T763" s="29"/>
      <c r="U763" s="29"/>
    </row>
    <row r="764" spans="3:21" ht="16.5" customHeight="1">
      <c r="C764" s="29"/>
      <c r="D764" s="29"/>
      <c r="E764" s="29"/>
      <c r="H764" s="29"/>
      <c r="I764" s="29"/>
      <c r="J764" s="29"/>
      <c r="K764" s="31"/>
      <c r="L764" s="32"/>
      <c r="M764" s="29"/>
      <c r="N764" s="29"/>
      <c r="O764" s="29"/>
      <c r="P764" s="29"/>
      <c r="Q764" s="29"/>
      <c r="R764" s="29"/>
      <c r="S764" s="37"/>
      <c r="T764" s="29"/>
      <c r="U764" s="29"/>
    </row>
    <row r="765" spans="3:21" ht="16.5" customHeight="1">
      <c r="C765" s="29"/>
      <c r="D765" s="29"/>
      <c r="E765" s="29"/>
      <c r="H765" s="29"/>
      <c r="I765" s="29"/>
      <c r="J765" s="29"/>
      <c r="K765" s="31"/>
      <c r="L765" s="32"/>
      <c r="M765" s="29"/>
      <c r="N765" s="29"/>
      <c r="O765" s="29"/>
      <c r="P765" s="29"/>
      <c r="Q765" s="29"/>
      <c r="R765" s="29"/>
      <c r="S765" s="37"/>
      <c r="T765" s="29"/>
      <c r="U765" s="29"/>
    </row>
    <row r="766" spans="3:21" ht="16.5" customHeight="1">
      <c r="C766" s="29"/>
      <c r="D766" s="29"/>
      <c r="E766" s="29"/>
      <c r="H766" s="29"/>
      <c r="I766" s="29"/>
      <c r="J766" s="29"/>
      <c r="K766" s="31"/>
      <c r="L766" s="32"/>
      <c r="M766" s="29"/>
      <c r="N766" s="29"/>
      <c r="O766" s="29"/>
      <c r="P766" s="29"/>
      <c r="Q766" s="29"/>
      <c r="R766" s="29"/>
      <c r="S766" s="37"/>
      <c r="T766" s="29"/>
      <c r="U766" s="29"/>
    </row>
    <row r="767" spans="3:21" ht="16.5" customHeight="1">
      <c r="C767" s="29"/>
      <c r="D767" s="29"/>
      <c r="E767" s="29"/>
      <c r="H767" s="29"/>
      <c r="I767" s="29"/>
      <c r="J767" s="29"/>
      <c r="K767" s="31"/>
      <c r="L767" s="32"/>
      <c r="M767" s="29"/>
      <c r="N767" s="29"/>
      <c r="O767" s="29"/>
      <c r="P767" s="29"/>
      <c r="Q767" s="29"/>
      <c r="R767" s="29"/>
      <c r="S767" s="37"/>
      <c r="T767" s="29"/>
      <c r="U767" s="29"/>
    </row>
    <row r="768" spans="3:21" ht="16.5" customHeight="1">
      <c r="C768" s="29"/>
      <c r="D768" s="29"/>
      <c r="E768" s="29"/>
      <c r="H768" s="29"/>
      <c r="I768" s="29"/>
      <c r="J768" s="29"/>
      <c r="K768" s="31"/>
      <c r="L768" s="32"/>
      <c r="M768" s="29"/>
      <c r="N768" s="29"/>
      <c r="O768" s="29"/>
      <c r="P768" s="29"/>
      <c r="Q768" s="29"/>
      <c r="R768" s="29"/>
      <c r="S768" s="37"/>
      <c r="T768" s="29"/>
      <c r="U768" s="29"/>
    </row>
    <row r="769" spans="3:21" ht="16.5" customHeight="1">
      <c r="C769" s="29"/>
      <c r="D769" s="29"/>
      <c r="E769" s="29"/>
      <c r="H769" s="29"/>
      <c r="I769" s="29"/>
      <c r="J769" s="29"/>
      <c r="K769" s="31"/>
      <c r="L769" s="32"/>
      <c r="M769" s="29"/>
      <c r="N769" s="29"/>
      <c r="O769" s="29"/>
      <c r="P769" s="29"/>
      <c r="Q769" s="29"/>
      <c r="R769" s="29"/>
      <c r="S769" s="37"/>
      <c r="T769" s="29"/>
      <c r="U769" s="29"/>
    </row>
    <row r="770" spans="3:21" ht="16.5" customHeight="1">
      <c r="C770" s="29"/>
      <c r="D770" s="29"/>
      <c r="E770" s="29"/>
      <c r="H770" s="29"/>
      <c r="I770" s="29"/>
      <c r="J770" s="29"/>
      <c r="K770" s="31"/>
      <c r="L770" s="32"/>
      <c r="M770" s="29"/>
      <c r="N770" s="29"/>
      <c r="O770" s="29"/>
      <c r="P770" s="29"/>
      <c r="Q770" s="29"/>
      <c r="R770" s="29"/>
      <c r="S770" s="37"/>
      <c r="T770" s="29"/>
      <c r="U770" s="29"/>
    </row>
    <row r="771" spans="3:21" ht="16.5" customHeight="1">
      <c r="C771" s="29"/>
      <c r="D771" s="29"/>
      <c r="E771" s="29"/>
      <c r="H771" s="29"/>
      <c r="I771" s="29"/>
      <c r="J771" s="29"/>
      <c r="K771" s="31"/>
      <c r="L771" s="32"/>
      <c r="M771" s="29"/>
      <c r="N771" s="29"/>
      <c r="O771" s="29"/>
      <c r="P771" s="29"/>
      <c r="Q771" s="29"/>
      <c r="R771" s="29"/>
      <c r="S771" s="37"/>
      <c r="T771" s="29"/>
      <c r="U771" s="29"/>
    </row>
    <row r="772" spans="3:21" ht="16.5" customHeight="1">
      <c r="C772" s="29"/>
      <c r="D772" s="29"/>
      <c r="E772" s="29"/>
      <c r="H772" s="29"/>
      <c r="I772" s="29"/>
      <c r="J772" s="29"/>
      <c r="K772" s="31"/>
      <c r="L772" s="32"/>
      <c r="M772" s="29"/>
      <c r="N772" s="29"/>
      <c r="O772" s="29"/>
      <c r="P772" s="29"/>
      <c r="Q772" s="29"/>
      <c r="R772" s="29"/>
      <c r="S772" s="37"/>
      <c r="T772" s="29"/>
      <c r="U772" s="29"/>
    </row>
    <row r="773" spans="3:21" ht="16.5" customHeight="1">
      <c r="C773" s="29"/>
      <c r="D773" s="29"/>
      <c r="E773" s="29"/>
      <c r="H773" s="29"/>
      <c r="I773" s="29"/>
      <c r="J773" s="29"/>
      <c r="K773" s="31"/>
      <c r="L773" s="32"/>
      <c r="M773" s="29"/>
      <c r="N773" s="29"/>
      <c r="O773" s="29"/>
      <c r="P773" s="29"/>
      <c r="Q773" s="29"/>
      <c r="R773" s="29"/>
      <c r="S773" s="37"/>
      <c r="T773" s="29"/>
      <c r="U773" s="29"/>
    </row>
    <row r="774" spans="3:21" ht="16.5" customHeight="1">
      <c r="C774" s="29"/>
      <c r="D774" s="29"/>
      <c r="E774" s="29"/>
      <c r="H774" s="29"/>
      <c r="I774" s="29"/>
      <c r="J774" s="29"/>
      <c r="K774" s="31"/>
      <c r="L774" s="32"/>
      <c r="M774" s="29"/>
      <c r="N774" s="29"/>
      <c r="O774" s="29"/>
      <c r="P774" s="29"/>
      <c r="Q774" s="29"/>
      <c r="R774" s="29"/>
      <c r="S774" s="37"/>
      <c r="T774" s="29"/>
      <c r="U774" s="29"/>
    </row>
    <row r="775" spans="3:21" ht="16.5" customHeight="1">
      <c r="C775" s="29"/>
      <c r="D775" s="29"/>
      <c r="E775" s="29"/>
      <c r="H775" s="29"/>
      <c r="I775" s="29"/>
      <c r="J775" s="29"/>
      <c r="K775" s="31"/>
      <c r="L775" s="32"/>
      <c r="M775" s="29"/>
      <c r="N775" s="29"/>
      <c r="O775" s="29"/>
      <c r="P775" s="29"/>
      <c r="Q775" s="29"/>
      <c r="R775" s="29"/>
      <c r="S775" s="37"/>
      <c r="T775" s="29"/>
      <c r="U775" s="29"/>
    </row>
    <row r="776" spans="3:21" ht="16.5" customHeight="1">
      <c r="C776" s="29"/>
      <c r="D776" s="29"/>
      <c r="E776" s="29"/>
      <c r="H776" s="29"/>
      <c r="I776" s="29"/>
      <c r="J776" s="29"/>
      <c r="K776" s="31"/>
      <c r="L776" s="32"/>
      <c r="M776" s="29"/>
      <c r="N776" s="29"/>
      <c r="O776" s="29"/>
      <c r="P776" s="29"/>
      <c r="Q776" s="29"/>
      <c r="R776" s="29"/>
      <c r="S776" s="37"/>
      <c r="T776" s="29"/>
      <c r="U776" s="29"/>
    </row>
    <row r="777" spans="3:21" ht="16.5" customHeight="1">
      <c r="C777" s="29"/>
      <c r="D777" s="29"/>
      <c r="E777" s="29"/>
      <c r="H777" s="29"/>
      <c r="I777" s="29"/>
      <c r="J777" s="29"/>
      <c r="K777" s="31"/>
      <c r="L777" s="32"/>
      <c r="M777" s="29"/>
      <c r="N777" s="29"/>
      <c r="O777" s="29"/>
      <c r="P777" s="29"/>
      <c r="Q777" s="29"/>
      <c r="R777" s="29"/>
      <c r="S777" s="37"/>
      <c r="T777" s="29"/>
      <c r="U777" s="29"/>
    </row>
    <row r="778" spans="3:21" ht="16.5" customHeight="1">
      <c r="C778" s="29"/>
      <c r="D778" s="29"/>
      <c r="E778" s="29"/>
      <c r="H778" s="29"/>
      <c r="I778" s="29"/>
      <c r="J778" s="29"/>
      <c r="K778" s="31"/>
      <c r="L778" s="32"/>
      <c r="M778" s="29"/>
      <c r="N778" s="29"/>
      <c r="O778" s="29"/>
      <c r="P778" s="29"/>
      <c r="Q778" s="29"/>
      <c r="R778" s="29"/>
      <c r="S778" s="37"/>
      <c r="T778" s="29"/>
      <c r="U778" s="29"/>
    </row>
    <row r="779" spans="3:21" ht="16.5" customHeight="1">
      <c r="C779" s="29"/>
      <c r="D779" s="29"/>
      <c r="E779" s="29"/>
      <c r="H779" s="29"/>
      <c r="I779" s="29"/>
      <c r="J779" s="29"/>
      <c r="K779" s="31"/>
      <c r="L779" s="32"/>
      <c r="M779" s="29"/>
      <c r="N779" s="29"/>
      <c r="O779" s="29"/>
      <c r="P779" s="29"/>
      <c r="Q779" s="29"/>
      <c r="R779" s="29"/>
      <c r="S779" s="37"/>
      <c r="T779" s="29"/>
      <c r="U779" s="29"/>
    </row>
    <row r="780" spans="3:21" ht="16.5" customHeight="1">
      <c r="C780" s="29"/>
      <c r="D780" s="29"/>
      <c r="E780" s="29"/>
      <c r="H780" s="29"/>
      <c r="I780" s="29"/>
      <c r="J780" s="29"/>
      <c r="K780" s="31"/>
      <c r="L780" s="32"/>
      <c r="M780" s="29"/>
      <c r="N780" s="29"/>
      <c r="O780" s="29"/>
      <c r="P780" s="29"/>
      <c r="Q780" s="29"/>
      <c r="R780" s="29"/>
      <c r="S780" s="37"/>
      <c r="T780" s="29"/>
      <c r="U780" s="29"/>
    </row>
    <row r="781" spans="3:21" ht="16.5" customHeight="1">
      <c r="C781" s="29"/>
      <c r="D781" s="29"/>
      <c r="E781" s="29"/>
      <c r="H781" s="29"/>
      <c r="I781" s="29"/>
      <c r="J781" s="29"/>
      <c r="K781" s="31"/>
      <c r="L781" s="32"/>
      <c r="M781" s="29"/>
      <c r="N781" s="29"/>
      <c r="O781" s="29"/>
      <c r="P781" s="29"/>
      <c r="Q781" s="29"/>
      <c r="R781" s="29"/>
      <c r="S781" s="37"/>
      <c r="T781" s="29"/>
      <c r="U781" s="29"/>
    </row>
    <row r="782" spans="3:21" ht="16.5" customHeight="1">
      <c r="C782" s="29"/>
      <c r="D782" s="29"/>
      <c r="E782" s="29"/>
      <c r="H782" s="29"/>
      <c r="I782" s="29"/>
      <c r="J782" s="29"/>
      <c r="K782" s="31"/>
      <c r="L782" s="32"/>
      <c r="M782" s="29"/>
      <c r="N782" s="29"/>
      <c r="O782" s="29"/>
      <c r="P782" s="29"/>
      <c r="Q782" s="29"/>
      <c r="R782" s="29"/>
      <c r="S782" s="37"/>
      <c r="T782" s="29"/>
      <c r="U782" s="29"/>
    </row>
    <row r="783" spans="3:21" ht="16.5" customHeight="1">
      <c r="C783" s="29"/>
      <c r="D783" s="29"/>
      <c r="E783" s="29"/>
      <c r="H783" s="29"/>
      <c r="I783" s="29"/>
      <c r="J783" s="29"/>
      <c r="K783" s="31"/>
      <c r="L783" s="32"/>
      <c r="M783" s="29"/>
      <c r="N783" s="29"/>
      <c r="O783" s="29"/>
      <c r="P783" s="29"/>
      <c r="Q783" s="29"/>
      <c r="R783" s="29"/>
      <c r="S783" s="37"/>
      <c r="T783" s="29"/>
      <c r="U783" s="29"/>
    </row>
    <row r="784" spans="3:21" ht="16.5" customHeight="1">
      <c r="C784" s="29"/>
      <c r="D784" s="29"/>
      <c r="E784" s="29"/>
      <c r="H784" s="29"/>
      <c r="I784" s="29"/>
      <c r="J784" s="29"/>
      <c r="K784" s="31"/>
      <c r="L784" s="32"/>
      <c r="M784" s="29"/>
      <c r="N784" s="29"/>
      <c r="O784" s="29"/>
      <c r="P784" s="29"/>
      <c r="Q784" s="29"/>
      <c r="R784" s="29"/>
      <c r="S784" s="37"/>
      <c r="T784" s="29"/>
      <c r="U784" s="29"/>
    </row>
    <row r="785" spans="3:21" ht="16.5" customHeight="1">
      <c r="C785" s="29"/>
      <c r="D785" s="29"/>
      <c r="E785" s="29"/>
      <c r="H785" s="29"/>
      <c r="I785" s="29"/>
      <c r="J785" s="29"/>
      <c r="K785" s="31"/>
      <c r="L785" s="32"/>
      <c r="M785" s="29"/>
      <c r="N785" s="29"/>
      <c r="O785" s="29"/>
      <c r="P785" s="29"/>
      <c r="Q785" s="29"/>
      <c r="R785" s="29"/>
      <c r="S785" s="37"/>
      <c r="T785" s="29"/>
      <c r="U785" s="29"/>
    </row>
    <row r="786" spans="3:21" ht="16.5" customHeight="1">
      <c r="C786" s="29"/>
      <c r="D786" s="29"/>
      <c r="E786" s="29"/>
      <c r="H786" s="29"/>
      <c r="I786" s="29"/>
      <c r="J786" s="29"/>
      <c r="K786" s="31"/>
      <c r="L786" s="32"/>
      <c r="M786" s="29"/>
      <c r="N786" s="29"/>
      <c r="O786" s="29"/>
      <c r="P786" s="29"/>
      <c r="Q786" s="29"/>
      <c r="R786" s="29"/>
      <c r="S786" s="37"/>
      <c r="T786" s="29"/>
      <c r="U786" s="29"/>
    </row>
    <row r="787" spans="3:21" ht="16.5" customHeight="1">
      <c r="C787" s="29"/>
      <c r="D787" s="29"/>
      <c r="E787" s="29"/>
      <c r="H787" s="29"/>
      <c r="I787" s="29"/>
      <c r="J787" s="29"/>
      <c r="K787" s="31"/>
      <c r="L787" s="32"/>
      <c r="M787" s="29"/>
      <c r="N787" s="29"/>
      <c r="O787" s="29"/>
      <c r="P787" s="29"/>
      <c r="Q787" s="29"/>
      <c r="R787" s="29"/>
      <c r="S787" s="37"/>
      <c r="T787" s="29"/>
      <c r="U787" s="29"/>
    </row>
    <row r="788" spans="3:21" ht="16.5" customHeight="1">
      <c r="C788" s="29"/>
      <c r="D788" s="29"/>
      <c r="E788" s="29"/>
      <c r="H788" s="29"/>
      <c r="I788" s="29"/>
      <c r="J788" s="29"/>
      <c r="K788" s="31"/>
      <c r="L788" s="32"/>
      <c r="M788" s="29"/>
      <c r="N788" s="29"/>
      <c r="O788" s="29"/>
      <c r="P788" s="29"/>
      <c r="Q788" s="29"/>
      <c r="R788" s="29"/>
      <c r="S788" s="37"/>
      <c r="T788" s="29"/>
      <c r="U788" s="29"/>
    </row>
    <row r="789" spans="3:21" ht="16.5" customHeight="1">
      <c r="C789" s="29"/>
      <c r="D789" s="29"/>
      <c r="E789" s="29"/>
      <c r="H789" s="29"/>
      <c r="I789" s="29"/>
      <c r="J789" s="29"/>
      <c r="K789" s="31"/>
      <c r="L789" s="32"/>
      <c r="M789" s="29"/>
      <c r="N789" s="29"/>
      <c r="O789" s="29"/>
      <c r="P789" s="29"/>
      <c r="Q789" s="29"/>
      <c r="R789" s="29"/>
      <c r="S789" s="37"/>
      <c r="T789" s="29"/>
      <c r="U789" s="29"/>
    </row>
    <row r="790" spans="3:21" ht="16.5" customHeight="1">
      <c r="C790" s="29"/>
      <c r="D790" s="29"/>
      <c r="E790" s="29"/>
      <c r="H790" s="29"/>
      <c r="I790" s="29"/>
      <c r="J790" s="29"/>
      <c r="K790" s="31"/>
      <c r="L790" s="32"/>
      <c r="M790" s="29"/>
      <c r="N790" s="29"/>
      <c r="O790" s="29"/>
      <c r="P790" s="29"/>
      <c r="Q790" s="29"/>
      <c r="R790" s="29"/>
      <c r="S790" s="37"/>
      <c r="T790" s="29"/>
      <c r="U790" s="29"/>
    </row>
    <row r="791" spans="3:21" ht="16.5" customHeight="1">
      <c r="C791" s="29"/>
      <c r="D791" s="29"/>
      <c r="E791" s="29"/>
      <c r="H791" s="29"/>
      <c r="I791" s="29"/>
      <c r="J791" s="29"/>
      <c r="K791" s="31"/>
      <c r="L791" s="32"/>
      <c r="M791" s="29"/>
      <c r="N791" s="29"/>
      <c r="O791" s="29"/>
      <c r="P791" s="29"/>
      <c r="Q791" s="29"/>
      <c r="R791" s="29"/>
      <c r="S791" s="37"/>
      <c r="T791" s="29"/>
      <c r="U791" s="29"/>
    </row>
    <row r="792" spans="3:21" ht="16.5" customHeight="1">
      <c r="C792" s="29"/>
      <c r="D792" s="29"/>
      <c r="E792" s="29"/>
      <c r="H792" s="29"/>
      <c r="I792" s="29"/>
      <c r="J792" s="29"/>
      <c r="K792" s="31"/>
      <c r="L792" s="32"/>
      <c r="M792" s="29"/>
      <c r="N792" s="29"/>
      <c r="O792" s="29"/>
      <c r="P792" s="29"/>
      <c r="Q792" s="29"/>
      <c r="R792" s="29"/>
      <c r="S792" s="37"/>
      <c r="T792" s="29"/>
      <c r="U792" s="29"/>
    </row>
    <row r="793" spans="3:21" ht="16.5" customHeight="1">
      <c r="C793" s="29"/>
      <c r="D793" s="29"/>
      <c r="E793" s="29"/>
      <c r="H793" s="29"/>
      <c r="I793" s="29"/>
      <c r="J793" s="29"/>
      <c r="K793" s="31"/>
      <c r="L793" s="32"/>
      <c r="M793" s="29"/>
      <c r="N793" s="29"/>
      <c r="O793" s="29"/>
      <c r="P793" s="29"/>
      <c r="Q793" s="29"/>
      <c r="R793" s="29"/>
      <c r="S793" s="37"/>
      <c r="T793" s="29"/>
      <c r="U793" s="29"/>
    </row>
    <row r="794" spans="3:21" ht="16.5" customHeight="1">
      <c r="C794" s="29"/>
      <c r="D794" s="29"/>
      <c r="E794" s="29"/>
      <c r="H794" s="29"/>
      <c r="I794" s="29"/>
      <c r="J794" s="29"/>
      <c r="K794" s="31"/>
      <c r="L794" s="32"/>
      <c r="M794" s="29"/>
      <c r="N794" s="29"/>
      <c r="O794" s="29"/>
      <c r="P794" s="29"/>
      <c r="Q794" s="29"/>
      <c r="R794" s="29"/>
      <c r="S794" s="37"/>
      <c r="T794" s="29"/>
      <c r="U794" s="29"/>
    </row>
    <row r="795" spans="3:21" ht="16.5" customHeight="1">
      <c r="C795" s="29"/>
      <c r="D795" s="29"/>
      <c r="E795" s="29"/>
      <c r="H795" s="29"/>
      <c r="I795" s="29"/>
      <c r="J795" s="29"/>
      <c r="K795" s="31"/>
      <c r="L795" s="32"/>
      <c r="M795" s="29"/>
      <c r="N795" s="29"/>
      <c r="O795" s="29"/>
      <c r="P795" s="29"/>
      <c r="Q795" s="29"/>
      <c r="R795" s="29"/>
      <c r="S795" s="37"/>
      <c r="T795" s="29"/>
      <c r="U795" s="29"/>
    </row>
    <row r="796" spans="3:21" ht="16.5" customHeight="1">
      <c r="C796" s="29"/>
      <c r="D796" s="29"/>
      <c r="E796" s="29"/>
      <c r="H796" s="29"/>
      <c r="I796" s="29"/>
      <c r="J796" s="29"/>
      <c r="K796" s="31"/>
      <c r="L796" s="32"/>
      <c r="M796" s="29"/>
      <c r="N796" s="29"/>
      <c r="O796" s="29"/>
      <c r="P796" s="29"/>
      <c r="Q796" s="29"/>
      <c r="R796" s="29"/>
      <c r="S796" s="37"/>
      <c r="T796" s="29"/>
      <c r="U796" s="29"/>
    </row>
    <row r="797" spans="3:21" ht="16.5" customHeight="1">
      <c r="C797" s="29"/>
      <c r="D797" s="29"/>
      <c r="E797" s="29"/>
      <c r="H797" s="29"/>
      <c r="I797" s="29"/>
      <c r="J797" s="29"/>
      <c r="K797" s="31"/>
      <c r="L797" s="32"/>
      <c r="M797" s="29"/>
      <c r="N797" s="29"/>
      <c r="O797" s="29"/>
      <c r="P797" s="29"/>
      <c r="Q797" s="29"/>
      <c r="R797" s="29"/>
      <c r="S797" s="37"/>
      <c r="T797" s="29"/>
      <c r="U797" s="29"/>
    </row>
    <row r="798" spans="3:21" ht="16.5" customHeight="1">
      <c r="C798" s="29"/>
      <c r="D798" s="29"/>
      <c r="E798" s="29"/>
      <c r="H798" s="29"/>
      <c r="I798" s="29"/>
      <c r="J798" s="29"/>
      <c r="K798" s="31"/>
      <c r="L798" s="32"/>
      <c r="M798" s="29"/>
      <c r="N798" s="29"/>
      <c r="O798" s="29"/>
      <c r="P798" s="29"/>
      <c r="Q798" s="29"/>
      <c r="R798" s="29"/>
      <c r="S798" s="37"/>
      <c r="T798" s="29"/>
      <c r="U798" s="29"/>
    </row>
    <row r="799" spans="3:21" ht="16.5" customHeight="1">
      <c r="C799" s="29"/>
      <c r="D799" s="29"/>
      <c r="E799" s="29"/>
      <c r="H799" s="29"/>
      <c r="I799" s="29"/>
      <c r="J799" s="29"/>
      <c r="K799" s="31"/>
      <c r="L799" s="32"/>
      <c r="M799" s="29"/>
      <c r="N799" s="29"/>
      <c r="O799" s="29"/>
      <c r="P799" s="29"/>
      <c r="Q799" s="29"/>
      <c r="R799" s="29"/>
      <c r="S799" s="37"/>
      <c r="T799" s="29"/>
      <c r="U799" s="29"/>
    </row>
    <row r="800" spans="3:21" ht="16.5" customHeight="1">
      <c r="C800" s="29"/>
      <c r="D800" s="29"/>
      <c r="E800" s="29"/>
      <c r="H800" s="29"/>
      <c r="I800" s="29"/>
      <c r="J800" s="29"/>
      <c r="K800" s="31"/>
      <c r="L800" s="32"/>
      <c r="M800" s="29"/>
      <c r="N800" s="29"/>
      <c r="O800" s="29"/>
      <c r="P800" s="29"/>
      <c r="Q800" s="29"/>
      <c r="R800" s="29"/>
      <c r="S800" s="37"/>
      <c r="T800" s="29"/>
      <c r="U800" s="29"/>
    </row>
    <row r="801" spans="3:21" ht="16.5" customHeight="1">
      <c r="C801" s="29"/>
      <c r="D801" s="29"/>
      <c r="E801" s="29"/>
      <c r="H801" s="29"/>
      <c r="I801" s="29"/>
      <c r="J801" s="29"/>
      <c r="K801" s="31"/>
      <c r="L801" s="32"/>
      <c r="M801" s="29"/>
      <c r="N801" s="29"/>
      <c r="O801" s="29"/>
      <c r="P801" s="29"/>
      <c r="Q801" s="29"/>
      <c r="R801" s="29"/>
      <c r="S801" s="37"/>
      <c r="T801" s="29"/>
      <c r="U801" s="29"/>
    </row>
    <row r="802" spans="3:21" ht="16.5" customHeight="1">
      <c r="C802" s="29"/>
      <c r="D802" s="29"/>
      <c r="E802" s="29"/>
      <c r="H802" s="29"/>
      <c r="I802" s="29"/>
      <c r="J802" s="29"/>
      <c r="K802" s="31"/>
      <c r="L802" s="32"/>
      <c r="M802" s="29"/>
      <c r="N802" s="29"/>
      <c r="O802" s="29"/>
      <c r="P802" s="29"/>
      <c r="Q802" s="29"/>
      <c r="R802" s="29"/>
      <c r="S802" s="37"/>
      <c r="T802" s="29"/>
      <c r="U802" s="29"/>
    </row>
    <row r="803" spans="3:21" ht="16.5" customHeight="1">
      <c r="C803" s="29"/>
      <c r="D803" s="29"/>
      <c r="E803" s="29"/>
      <c r="H803" s="29"/>
      <c r="I803" s="29"/>
      <c r="J803" s="29"/>
      <c r="K803" s="31"/>
      <c r="L803" s="32"/>
      <c r="M803" s="29"/>
      <c r="N803" s="29"/>
      <c r="O803" s="29"/>
      <c r="P803" s="29"/>
      <c r="Q803" s="29"/>
      <c r="R803" s="29"/>
      <c r="S803" s="37"/>
      <c r="T803" s="29"/>
      <c r="U803" s="29"/>
    </row>
    <row r="804" spans="3:21" ht="16.5" customHeight="1">
      <c r="C804" s="29"/>
      <c r="D804" s="29"/>
      <c r="E804" s="29"/>
      <c r="H804" s="29"/>
      <c r="I804" s="29"/>
      <c r="J804" s="29"/>
      <c r="K804" s="31"/>
      <c r="L804" s="32"/>
      <c r="M804" s="29"/>
      <c r="N804" s="29"/>
      <c r="O804" s="29"/>
      <c r="P804" s="29"/>
      <c r="Q804" s="29"/>
      <c r="R804" s="29"/>
      <c r="S804" s="37"/>
      <c r="T804" s="29"/>
      <c r="U804" s="29"/>
    </row>
    <row r="805" spans="3:21" ht="16.5" customHeight="1">
      <c r="C805" s="29"/>
      <c r="D805" s="29"/>
      <c r="E805" s="29"/>
      <c r="H805" s="29"/>
      <c r="I805" s="29"/>
      <c r="J805" s="29"/>
      <c r="K805" s="31"/>
      <c r="L805" s="32"/>
      <c r="M805" s="29"/>
      <c r="N805" s="29"/>
      <c r="O805" s="29"/>
      <c r="P805" s="29"/>
      <c r="Q805" s="29"/>
      <c r="R805" s="29"/>
      <c r="S805" s="37"/>
      <c r="T805" s="29"/>
      <c r="U805" s="29"/>
    </row>
    <row r="806" spans="3:21" ht="16.5" customHeight="1">
      <c r="C806" s="29"/>
      <c r="D806" s="29"/>
      <c r="E806" s="29"/>
      <c r="H806" s="29"/>
      <c r="I806" s="29"/>
      <c r="J806" s="29"/>
      <c r="K806" s="31"/>
      <c r="L806" s="32"/>
      <c r="M806" s="29"/>
      <c r="N806" s="29"/>
      <c r="O806" s="29"/>
      <c r="P806" s="29"/>
      <c r="Q806" s="29"/>
      <c r="R806" s="29"/>
      <c r="S806" s="37"/>
      <c r="T806" s="29"/>
      <c r="U806" s="29"/>
    </row>
    <row r="807" spans="3:21" ht="16.5" customHeight="1">
      <c r="C807" s="29"/>
      <c r="D807" s="29"/>
      <c r="E807" s="29"/>
      <c r="H807" s="29"/>
      <c r="I807" s="29"/>
      <c r="J807" s="29"/>
      <c r="K807" s="31"/>
      <c r="L807" s="32"/>
      <c r="M807" s="29"/>
      <c r="N807" s="29"/>
      <c r="O807" s="29"/>
      <c r="P807" s="29"/>
      <c r="Q807" s="29"/>
      <c r="R807" s="29"/>
      <c r="S807" s="37"/>
      <c r="T807" s="29"/>
      <c r="U807" s="29"/>
    </row>
    <row r="808" spans="3:21" ht="16.5" customHeight="1">
      <c r="C808" s="29"/>
      <c r="D808" s="29"/>
      <c r="E808" s="29"/>
      <c r="H808" s="29"/>
      <c r="I808" s="29"/>
      <c r="J808" s="29"/>
      <c r="K808" s="31"/>
      <c r="L808" s="32"/>
      <c r="M808" s="29"/>
      <c r="N808" s="29"/>
      <c r="O808" s="29"/>
      <c r="P808" s="29"/>
      <c r="Q808" s="29"/>
      <c r="R808" s="29"/>
      <c r="S808" s="37"/>
      <c r="T808" s="29"/>
      <c r="U808" s="29"/>
    </row>
    <row r="809" spans="3:21" ht="16.5" customHeight="1">
      <c r="C809" s="29"/>
      <c r="D809" s="29"/>
      <c r="E809" s="29"/>
      <c r="H809" s="29"/>
      <c r="I809" s="29"/>
      <c r="J809" s="29"/>
      <c r="K809" s="31"/>
      <c r="L809" s="32"/>
      <c r="M809" s="29"/>
      <c r="N809" s="29"/>
      <c r="O809" s="29"/>
      <c r="P809" s="29"/>
      <c r="Q809" s="29"/>
      <c r="R809" s="29"/>
      <c r="S809" s="37"/>
      <c r="T809" s="29"/>
      <c r="U809" s="29"/>
    </row>
    <row r="810" spans="3:21" ht="16.5" customHeight="1">
      <c r="C810" s="29"/>
      <c r="D810" s="29"/>
      <c r="E810" s="29"/>
      <c r="H810" s="29"/>
      <c r="I810" s="29"/>
      <c r="J810" s="29"/>
      <c r="K810" s="31"/>
      <c r="L810" s="32"/>
      <c r="M810" s="29"/>
      <c r="N810" s="29"/>
      <c r="O810" s="29"/>
      <c r="P810" s="29"/>
      <c r="Q810" s="29"/>
      <c r="R810" s="29"/>
      <c r="S810" s="37"/>
      <c r="T810" s="29"/>
      <c r="U810" s="29"/>
    </row>
    <row r="811" spans="3:21" ht="16.5" customHeight="1">
      <c r="C811" s="29"/>
      <c r="D811" s="29"/>
      <c r="E811" s="29"/>
      <c r="H811" s="29"/>
      <c r="I811" s="29"/>
      <c r="J811" s="29"/>
      <c r="K811" s="31"/>
      <c r="L811" s="32"/>
      <c r="M811" s="29"/>
      <c r="N811" s="29"/>
      <c r="O811" s="29"/>
      <c r="P811" s="29"/>
      <c r="Q811" s="29"/>
      <c r="R811" s="29"/>
      <c r="S811" s="37"/>
      <c r="T811" s="29"/>
      <c r="U811" s="29"/>
    </row>
    <row r="812" spans="3:21" ht="16.5" customHeight="1">
      <c r="C812" s="29"/>
      <c r="D812" s="29"/>
      <c r="E812" s="29"/>
      <c r="H812" s="29"/>
      <c r="I812" s="29"/>
      <c r="J812" s="29"/>
      <c r="K812" s="31"/>
      <c r="L812" s="32"/>
      <c r="M812" s="29"/>
      <c r="N812" s="29"/>
      <c r="O812" s="29"/>
      <c r="P812" s="29"/>
      <c r="Q812" s="29"/>
      <c r="R812" s="29"/>
      <c r="S812" s="37"/>
      <c r="T812" s="29"/>
      <c r="U812" s="29"/>
    </row>
    <row r="813" spans="3:21" ht="16.5" customHeight="1">
      <c r="C813" s="29"/>
      <c r="D813" s="29"/>
      <c r="E813" s="29"/>
      <c r="H813" s="29"/>
      <c r="I813" s="29"/>
      <c r="J813" s="29"/>
      <c r="K813" s="31"/>
      <c r="L813" s="32"/>
      <c r="M813" s="29"/>
      <c r="N813" s="29"/>
      <c r="O813" s="29"/>
      <c r="P813" s="29"/>
      <c r="Q813" s="29"/>
      <c r="R813" s="29"/>
      <c r="S813" s="37"/>
      <c r="T813" s="29"/>
      <c r="U813" s="29"/>
    </row>
    <row r="814" spans="3:21" ht="16.5" customHeight="1">
      <c r="C814" s="29"/>
      <c r="D814" s="29"/>
      <c r="E814" s="29"/>
      <c r="H814" s="29"/>
      <c r="I814" s="29"/>
      <c r="J814" s="29"/>
      <c r="K814" s="31"/>
      <c r="L814" s="32"/>
      <c r="M814" s="29"/>
      <c r="N814" s="29"/>
      <c r="O814" s="29"/>
      <c r="P814" s="29"/>
      <c r="Q814" s="29"/>
      <c r="R814" s="29"/>
      <c r="S814" s="37"/>
      <c r="T814" s="29"/>
      <c r="U814" s="29"/>
    </row>
    <row r="815" spans="3:21" ht="16.5" customHeight="1">
      <c r="C815" s="29"/>
      <c r="D815" s="29"/>
      <c r="E815" s="29"/>
      <c r="H815" s="29"/>
      <c r="I815" s="29"/>
      <c r="J815" s="29"/>
      <c r="K815" s="31"/>
      <c r="L815" s="32"/>
      <c r="M815" s="29"/>
      <c r="N815" s="29"/>
      <c r="O815" s="29"/>
      <c r="P815" s="29"/>
      <c r="Q815" s="29"/>
      <c r="R815" s="29"/>
      <c r="S815" s="37"/>
      <c r="T815" s="29"/>
      <c r="U815" s="29"/>
    </row>
    <row r="816" spans="3:21" ht="16.5" customHeight="1">
      <c r="C816" s="29"/>
      <c r="D816" s="29"/>
      <c r="E816" s="29"/>
      <c r="H816" s="29"/>
      <c r="I816" s="29"/>
      <c r="J816" s="29"/>
      <c r="K816" s="31"/>
      <c r="L816" s="32"/>
      <c r="M816" s="29"/>
      <c r="N816" s="29"/>
      <c r="O816" s="29"/>
      <c r="P816" s="29"/>
      <c r="Q816" s="29"/>
      <c r="R816" s="29"/>
      <c r="S816" s="37"/>
      <c r="T816" s="29"/>
      <c r="U816" s="29"/>
    </row>
    <row r="817" spans="3:21" ht="16.5" customHeight="1">
      <c r="C817" s="29"/>
      <c r="D817" s="29"/>
      <c r="E817" s="29"/>
      <c r="H817" s="29"/>
      <c r="I817" s="29"/>
      <c r="J817" s="29"/>
      <c r="K817" s="31"/>
      <c r="L817" s="32"/>
      <c r="M817" s="29"/>
      <c r="N817" s="29"/>
      <c r="O817" s="29"/>
      <c r="P817" s="29"/>
      <c r="Q817" s="29"/>
      <c r="R817" s="29"/>
      <c r="S817" s="37"/>
      <c r="T817" s="29"/>
      <c r="U817" s="29"/>
    </row>
    <row r="818" spans="3:21" ht="16.5" customHeight="1">
      <c r="C818" s="29"/>
      <c r="D818" s="29"/>
      <c r="E818" s="29"/>
      <c r="H818" s="29"/>
      <c r="I818" s="29"/>
      <c r="J818" s="29"/>
      <c r="K818" s="31"/>
      <c r="L818" s="32"/>
      <c r="M818" s="29"/>
      <c r="N818" s="29"/>
      <c r="O818" s="29"/>
      <c r="P818" s="29"/>
      <c r="Q818" s="29"/>
      <c r="R818" s="29"/>
      <c r="S818" s="37"/>
      <c r="T818" s="29"/>
      <c r="U818" s="29"/>
    </row>
    <row r="819" spans="3:21" ht="16.5" customHeight="1">
      <c r="C819" s="29"/>
      <c r="D819" s="29"/>
      <c r="E819" s="29"/>
      <c r="H819" s="29"/>
      <c r="I819" s="29"/>
      <c r="J819" s="29"/>
      <c r="K819" s="31"/>
      <c r="L819" s="32"/>
      <c r="M819" s="29"/>
      <c r="N819" s="29"/>
      <c r="O819" s="29"/>
      <c r="P819" s="29"/>
      <c r="Q819" s="29"/>
      <c r="R819" s="29"/>
      <c r="S819" s="37"/>
      <c r="T819" s="29"/>
      <c r="U819" s="29"/>
    </row>
    <row r="820" spans="3:21" ht="16.5" customHeight="1">
      <c r="C820" s="29"/>
      <c r="D820" s="29"/>
      <c r="E820" s="29"/>
      <c r="H820" s="29"/>
      <c r="I820" s="29"/>
      <c r="J820" s="29"/>
      <c r="K820" s="31"/>
      <c r="L820" s="32"/>
      <c r="M820" s="29"/>
      <c r="N820" s="29"/>
      <c r="O820" s="29"/>
      <c r="P820" s="29"/>
      <c r="Q820" s="29"/>
      <c r="R820" s="29"/>
      <c r="S820" s="37"/>
      <c r="T820" s="29"/>
      <c r="U820" s="29"/>
    </row>
    <row r="821" spans="3:21" ht="16.5" customHeight="1">
      <c r="C821" s="29"/>
      <c r="D821" s="29"/>
      <c r="E821" s="29"/>
      <c r="H821" s="29"/>
      <c r="I821" s="29"/>
      <c r="J821" s="29"/>
      <c r="K821" s="31"/>
      <c r="L821" s="32"/>
      <c r="M821" s="29"/>
      <c r="N821" s="29"/>
      <c r="O821" s="29"/>
      <c r="P821" s="29"/>
      <c r="Q821" s="29"/>
      <c r="R821" s="29"/>
      <c r="S821" s="37"/>
      <c r="T821" s="29"/>
      <c r="U821" s="29"/>
    </row>
    <row r="822" spans="3:21" ht="16.5" customHeight="1">
      <c r="C822" s="29"/>
      <c r="D822" s="29"/>
      <c r="E822" s="29"/>
      <c r="H822" s="29"/>
      <c r="I822" s="29"/>
      <c r="J822" s="29"/>
      <c r="K822" s="31"/>
      <c r="L822" s="32"/>
      <c r="M822" s="29"/>
      <c r="N822" s="29"/>
      <c r="O822" s="29"/>
      <c r="P822" s="29"/>
      <c r="Q822" s="29"/>
      <c r="R822" s="29"/>
      <c r="S822" s="37"/>
      <c r="T822" s="29"/>
      <c r="U822" s="29"/>
    </row>
    <row r="823" spans="3:21" ht="16.5" customHeight="1">
      <c r="C823" s="29"/>
      <c r="D823" s="29"/>
      <c r="E823" s="29"/>
      <c r="H823" s="29"/>
      <c r="I823" s="29"/>
      <c r="J823" s="29"/>
      <c r="K823" s="31"/>
      <c r="L823" s="32"/>
      <c r="M823" s="29"/>
      <c r="N823" s="29"/>
      <c r="O823" s="29"/>
      <c r="P823" s="29"/>
      <c r="Q823" s="29"/>
      <c r="R823" s="29"/>
      <c r="S823" s="37"/>
      <c r="T823" s="29"/>
      <c r="U823" s="29"/>
    </row>
    <row r="824" spans="3:21" ht="16.5" customHeight="1">
      <c r="C824" s="29"/>
      <c r="D824" s="29"/>
      <c r="E824" s="29"/>
      <c r="H824" s="29"/>
      <c r="I824" s="29"/>
      <c r="J824" s="29"/>
      <c r="K824" s="31"/>
      <c r="L824" s="32"/>
      <c r="M824" s="29"/>
      <c r="N824" s="29"/>
      <c r="O824" s="29"/>
      <c r="P824" s="29"/>
      <c r="Q824" s="29"/>
      <c r="R824" s="29"/>
      <c r="S824" s="37"/>
      <c r="T824" s="29"/>
      <c r="U824" s="29"/>
    </row>
    <row r="825" spans="3:21" ht="16.5" customHeight="1">
      <c r="C825" s="29"/>
      <c r="D825" s="29"/>
      <c r="E825" s="29"/>
      <c r="H825" s="29"/>
      <c r="I825" s="29"/>
      <c r="J825" s="29"/>
      <c r="K825" s="31"/>
      <c r="L825" s="32"/>
      <c r="M825" s="29"/>
      <c r="N825" s="29"/>
      <c r="O825" s="29"/>
      <c r="P825" s="29"/>
      <c r="Q825" s="29"/>
      <c r="R825" s="29"/>
      <c r="S825" s="37"/>
      <c r="T825" s="29"/>
      <c r="U825" s="29"/>
    </row>
    <row r="826" spans="3:21" ht="16.5" customHeight="1">
      <c r="C826" s="29"/>
      <c r="D826" s="29"/>
      <c r="E826" s="29"/>
      <c r="H826" s="29"/>
      <c r="I826" s="29"/>
      <c r="J826" s="29"/>
      <c r="K826" s="31"/>
      <c r="L826" s="32"/>
      <c r="M826" s="29"/>
      <c r="N826" s="29"/>
      <c r="O826" s="29"/>
      <c r="P826" s="29"/>
      <c r="Q826" s="29"/>
      <c r="R826" s="29"/>
      <c r="S826" s="37"/>
      <c r="T826" s="29"/>
      <c r="U826" s="29"/>
    </row>
    <row r="827" spans="3:21" ht="16.5" customHeight="1">
      <c r="C827" s="29"/>
      <c r="D827" s="29"/>
      <c r="E827" s="29"/>
      <c r="H827" s="29"/>
      <c r="I827" s="29"/>
      <c r="J827" s="29"/>
      <c r="K827" s="31"/>
      <c r="L827" s="32"/>
      <c r="M827" s="29"/>
      <c r="N827" s="29"/>
      <c r="O827" s="29"/>
      <c r="P827" s="29"/>
      <c r="Q827" s="29"/>
      <c r="R827" s="29"/>
      <c r="S827" s="37"/>
      <c r="T827" s="29"/>
      <c r="U827" s="29"/>
    </row>
    <row r="828" spans="3:21" ht="16.5" customHeight="1">
      <c r="C828" s="29"/>
      <c r="D828" s="29"/>
      <c r="E828" s="29"/>
      <c r="H828" s="29"/>
      <c r="I828" s="29"/>
      <c r="J828" s="29"/>
      <c r="K828" s="31"/>
      <c r="L828" s="32"/>
      <c r="M828" s="29"/>
      <c r="N828" s="29"/>
      <c r="O828" s="29"/>
      <c r="P828" s="29"/>
      <c r="Q828" s="29"/>
      <c r="R828" s="29"/>
      <c r="S828" s="37"/>
      <c r="T828" s="29"/>
      <c r="U828" s="29"/>
    </row>
    <row r="829" spans="3:21" ht="16.5" customHeight="1">
      <c r="C829" s="29"/>
      <c r="D829" s="29"/>
      <c r="E829" s="29"/>
      <c r="H829" s="29"/>
      <c r="I829" s="29"/>
      <c r="J829" s="29"/>
      <c r="K829" s="31"/>
      <c r="L829" s="32"/>
      <c r="M829" s="29"/>
      <c r="N829" s="29"/>
      <c r="O829" s="29"/>
      <c r="P829" s="29"/>
      <c r="Q829" s="29"/>
      <c r="R829" s="29"/>
      <c r="S829" s="37"/>
      <c r="T829" s="29"/>
      <c r="U829" s="29"/>
    </row>
    <row r="830" spans="3:21" ht="16.5" customHeight="1">
      <c r="C830" s="29"/>
      <c r="D830" s="29"/>
      <c r="E830" s="29"/>
      <c r="H830" s="29"/>
      <c r="I830" s="29"/>
      <c r="J830" s="29"/>
      <c r="K830" s="31"/>
      <c r="L830" s="32"/>
      <c r="M830" s="29"/>
      <c r="N830" s="29"/>
      <c r="O830" s="29"/>
      <c r="P830" s="29"/>
      <c r="Q830" s="29"/>
      <c r="R830" s="29"/>
      <c r="S830" s="37"/>
      <c r="T830" s="29"/>
      <c r="U830" s="29"/>
    </row>
    <row r="831" spans="3:21" ht="16.5" customHeight="1">
      <c r="C831" s="29"/>
      <c r="D831" s="29"/>
      <c r="E831" s="29"/>
      <c r="H831" s="29"/>
      <c r="I831" s="29"/>
      <c r="J831" s="29"/>
      <c r="K831" s="31"/>
      <c r="L831" s="32"/>
      <c r="M831" s="29"/>
      <c r="N831" s="29"/>
      <c r="O831" s="29"/>
      <c r="P831" s="29"/>
      <c r="Q831" s="29"/>
      <c r="R831" s="29"/>
      <c r="S831" s="37"/>
      <c r="T831" s="29"/>
      <c r="U831" s="29"/>
    </row>
    <row r="832" spans="3:21" ht="16.5" customHeight="1">
      <c r="C832" s="29"/>
      <c r="D832" s="29"/>
      <c r="E832" s="29"/>
      <c r="H832" s="29"/>
      <c r="I832" s="29"/>
      <c r="J832" s="29"/>
      <c r="K832" s="31"/>
      <c r="L832" s="32"/>
      <c r="M832" s="29"/>
      <c r="N832" s="29"/>
      <c r="O832" s="29"/>
      <c r="P832" s="29"/>
      <c r="Q832" s="29"/>
      <c r="R832" s="29"/>
      <c r="S832" s="37"/>
      <c r="T832" s="29"/>
      <c r="U832" s="29"/>
    </row>
    <row r="833" spans="3:21" ht="16.5" customHeight="1">
      <c r="C833" s="29"/>
      <c r="D833" s="29"/>
      <c r="E833" s="29"/>
      <c r="H833" s="29"/>
      <c r="I833" s="29"/>
      <c r="J833" s="29"/>
      <c r="K833" s="31"/>
      <c r="L833" s="32"/>
      <c r="M833" s="29"/>
      <c r="N833" s="29"/>
      <c r="O833" s="29"/>
      <c r="P833" s="29"/>
      <c r="Q833" s="29"/>
      <c r="R833" s="29"/>
      <c r="S833" s="37"/>
      <c r="T833" s="29"/>
      <c r="U833" s="29"/>
    </row>
    <row r="834" spans="3:21" ht="16.5" customHeight="1">
      <c r="C834" s="29"/>
      <c r="D834" s="29"/>
      <c r="E834" s="29"/>
      <c r="H834" s="29"/>
      <c r="I834" s="29"/>
      <c r="J834" s="29"/>
      <c r="K834" s="31"/>
      <c r="L834" s="32"/>
      <c r="M834" s="29"/>
      <c r="N834" s="29"/>
      <c r="O834" s="29"/>
      <c r="P834" s="29"/>
      <c r="Q834" s="29"/>
      <c r="R834" s="29"/>
      <c r="S834" s="37"/>
      <c r="T834" s="29"/>
      <c r="U834" s="29"/>
    </row>
    <row r="835" spans="3:21" ht="16.5" customHeight="1">
      <c r="C835" s="29"/>
      <c r="D835" s="29"/>
      <c r="E835" s="29"/>
      <c r="H835" s="29"/>
      <c r="I835" s="29"/>
      <c r="J835" s="29"/>
      <c r="K835" s="31"/>
      <c r="L835" s="32"/>
      <c r="M835" s="29"/>
      <c r="N835" s="29"/>
      <c r="O835" s="29"/>
      <c r="P835" s="29"/>
      <c r="Q835" s="29"/>
      <c r="R835" s="29"/>
      <c r="S835" s="37"/>
      <c r="T835" s="29"/>
      <c r="U835" s="29"/>
    </row>
    <row r="836" spans="3:21" ht="16.5" customHeight="1">
      <c r="C836" s="29"/>
      <c r="D836" s="29"/>
      <c r="E836" s="29"/>
      <c r="H836" s="29"/>
      <c r="I836" s="29"/>
      <c r="J836" s="29"/>
      <c r="K836" s="31"/>
      <c r="L836" s="32"/>
      <c r="M836" s="29"/>
      <c r="N836" s="29"/>
      <c r="O836" s="29"/>
      <c r="P836" s="29"/>
      <c r="Q836" s="29"/>
      <c r="R836" s="29"/>
      <c r="S836" s="37"/>
      <c r="T836" s="29"/>
      <c r="U836" s="29"/>
    </row>
    <row r="837" spans="3:21" ht="16.5" customHeight="1">
      <c r="C837" s="29"/>
      <c r="D837" s="29"/>
      <c r="E837" s="29"/>
      <c r="H837" s="29"/>
      <c r="I837" s="29"/>
      <c r="J837" s="29"/>
      <c r="K837" s="31"/>
      <c r="L837" s="32"/>
      <c r="M837" s="29"/>
      <c r="N837" s="29"/>
      <c r="O837" s="29"/>
      <c r="P837" s="29"/>
      <c r="Q837" s="29"/>
      <c r="R837" s="29"/>
      <c r="S837" s="37"/>
      <c r="T837" s="29"/>
      <c r="U837" s="29"/>
    </row>
    <row r="838" spans="3:21" ht="16.5" customHeight="1">
      <c r="C838" s="29"/>
      <c r="D838" s="29"/>
      <c r="E838" s="29"/>
      <c r="H838" s="29"/>
      <c r="I838" s="29"/>
      <c r="J838" s="29"/>
      <c r="K838" s="31"/>
      <c r="L838" s="32"/>
      <c r="M838" s="29"/>
      <c r="N838" s="29"/>
      <c r="O838" s="29"/>
      <c r="P838" s="29"/>
      <c r="Q838" s="29"/>
      <c r="R838" s="29"/>
      <c r="S838" s="37"/>
      <c r="T838" s="29"/>
      <c r="U838" s="29"/>
    </row>
    <row r="839" spans="3:21" ht="16.5" customHeight="1">
      <c r="C839" s="29"/>
      <c r="D839" s="29"/>
      <c r="E839" s="29"/>
      <c r="H839" s="29"/>
      <c r="I839" s="29"/>
      <c r="J839" s="29"/>
      <c r="K839" s="31"/>
      <c r="L839" s="32"/>
      <c r="M839" s="29"/>
      <c r="N839" s="29"/>
      <c r="O839" s="29"/>
      <c r="P839" s="29"/>
      <c r="Q839" s="29"/>
      <c r="R839" s="29"/>
      <c r="S839" s="37"/>
      <c r="T839" s="29"/>
      <c r="U839" s="29"/>
    </row>
    <row r="840" spans="3:21" ht="16.5" customHeight="1">
      <c r="C840" s="29"/>
      <c r="D840" s="29"/>
      <c r="E840" s="29"/>
      <c r="H840" s="29"/>
      <c r="I840" s="29"/>
      <c r="J840" s="29"/>
      <c r="K840" s="31"/>
      <c r="L840" s="32"/>
      <c r="M840" s="29"/>
      <c r="N840" s="29"/>
      <c r="O840" s="29"/>
      <c r="P840" s="29"/>
      <c r="Q840" s="29"/>
      <c r="R840" s="29"/>
      <c r="S840" s="37"/>
      <c r="T840" s="29"/>
      <c r="U840" s="29"/>
    </row>
    <row r="841" spans="3:21" ht="16.5" customHeight="1">
      <c r="C841" s="29"/>
      <c r="D841" s="29"/>
      <c r="E841" s="29"/>
      <c r="H841" s="29"/>
      <c r="I841" s="29"/>
      <c r="J841" s="29"/>
      <c r="K841" s="31"/>
      <c r="L841" s="32"/>
      <c r="M841" s="29"/>
      <c r="N841" s="29"/>
      <c r="O841" s="29"/>
      <c r="P841" s="29"/>
      <c r="Q841" s="29"/>
      <c r="R841" s="29"/>
      <c r="S841" s="37"/>
      <c r="T841" s="29"/>
      <c r="U841" s="29"/>
    </row>
    <row r="842" spans="3:21" ht="16.5" customHeight="1">
      <c r="C842" s="29"/>
      <c r="D842" s="29"/>
      <c r="E842" s="29"/>
      <c r="H842" s="29"/>
      <c r="I842" s="29"/>
      <c r="J842" s="29"/>
      <c r="K842" s="31"/>
      <c r="L842" s="32"/>
      <c r="M842" s="29"/>
      <c r="N842" s="29"/>
      <c r="O842" s="29"/>
      <c r="P842" s="29"/>
      <c r="Q842" s="29"/>
      <c r="R842" s="29"/>
      <c r="S842" s="37"/>
      <c r="T842" s="29"/>
      <c r="U842" s="29"/>
    </row>
    <row r="843" spans="3:21" ht="16.5" customHeight="1">
      <c r="C843" s="29"/>
      <c r="D843" s="29"/>
      <c r="E843" s="29"/>
      <c r="H843" s="29"/>
      <c r="I843" s="29"/>
      <c r="J843" s="29"/>
      <c r="K843" s="31"/>
      <c r="L843" s="32"/>
      <c r="M843" s="29"/>
      <c r="N843" s="29"/>
      <c r="O843" s="29"/>
      <c r="P843" s="29"/>
      <c r="Q843" s="29"/>
      <c r="R843" s="29"/>
      <c r="S843" s="37"/>
      <c r="T843" s="29"/>
      <c r="U843" s="29"/>
    </row>
    <row r="844" spans="3:21" ht="16.5" customHeight="1">
      <c r="C844" s="29"/>
      <c r="D844" s="29"/>
      <c r="E844" s="29"/>
      <c r="H844" s="29"/>
      <c r="I844" s="29"/>
      <c r="J844" s="29"/>
      <c r="K844" s="31"/>
      <c r="L844" s="32"/>
      <c r="M844" s="29"/>
      <c r="N844" s="29"/>
      <c r="O844" s="29"/>
      <c r="P844" s="29"/>
      <c r="Q844" s="29"/>
      <c r="R844" s="29"/>
      <c r="S844" s="37"/>
      <c r="T844" s="29"/>
      <c r="U844" s="29"/>
    </row>
    <row r="845" spans="3:21" ht="16.5" customHeight="1">
      <c r="C845" s="29"/>
      <c r="D845" s="29"/>
      <c r="E845" s="29"/>
      <c r="H845" s="29"/>
      <c r="I845" s="29"/>
      <c r="J845" s="29"/>
      <c r="K845" s="31"/>
      <c r="L845" s="32"/>
      <c r="M845" s="29"/>
      <c r="N845" s="29"/>
      <c r="O845" s="29"/>
      <c r="P845" s="29"/>
      <c r="Q845" s="29"/>
      <c r="R845" s="29"/>
      <c r="S845" s="37"/>
      <c r="T845" s="29"/>
      <c r="U845" s="29"/>
    </row>
    <row r="846" spans="3:21" ht="16.5" customHeight="1">
      <c r="C846" s="29"/>
      <c r="D846" s="29"/>
      <c r="E846" s="29"/>
      <c r="H846" s="29"/>
      <c r="I846" s="29"/>
      <c r="J846" s="29"/>
      <c r="K846" s="31"/>
      <c r="L846" s="32"/>
      <c r="M846" s="29"/>
      <c r="N846" s="29"/>
      <c r="O846" s="29"/>
      <c r="P846" s="29"/>
      <c r="Q846" s="29"/>
      <c r="R846" s="29"/>
      <c r="S846" s="37"/>
      <c r="T846" s="29"/>
      <c r="U846" s="29"/>
    </row>
    <row r="847" spans="3:21" ht="16.5" customHeight="1">
      <c r="C847" s="29"/>
      <c r="D847" s="29"/>
      <c r="E847" s="29"/>
      <c r="H847" s="29"/>
      <c r="I847" s="29"/>
      <c r="J847" s="29"/>
      <c r="K847" s="31"/>
      <c r="L847" s="32"/>
      <c r="M847" s="29"/>
      <c r="N847" s="29"/>
      <c r="O847" s="29"/>
      <c r="P847" s="29"/>
      <c r="Q847" s="29"/>
      <c r="R847" s="29"/>
      <c r="S847" s="37"/>
      <c r="T847" s="29"/>
      <c r="U847" s="29"/>
    </row>
    <row r="848" spans="3:21" ht="16.5" customHeight="1">
      <c r="C848" s="29"/>
      <c r="D848" s="29"/>
      <c r="E848" s="29"/>
      <c r="H848" s="29"/>
      <c r="I848" s="29"/>
      <c r="J848" s="29"/>
      <c r="K848" s="31"/>
      <c r="L848" s="32"/>
      <c r="M848" s="29"/>
      <c r="N848" s="29"/>
      <c r="O848" s="29"/>
      <c r="P848" s="29"/>
      <c r="Q848" s="29"/>
      <c r="R848" s="29"/>
      <c r="S848" s="37"/>
      <c r="T848" s="29"/>
      <c r="U848" s="29"/>
    </row>
    <row r="849" spans="3:21" ht="16.5" customHeight="1">
      <c r="C849" s="29"/>
      <c r="D849" s="29"/>
      <c r="E849" s="29"/>
      <c r="H849" s="29"/>
      <c r="I849" s="29"/>
      <c r="J849" s="29"/>
      <c r="K849" s="31"/>
      <c r="L849" s="32"/>
      <c r="M849" s="29"/>
      <c r="N849" s="29"/>
      <c r="O849" s="29"/>
      <c r="P849" s="29"/>
      <c r="Q849" s="29"/>
      <c r="R849" s="29"/>
      <c r="S849" s="37"/>
      <c r="T849" s="29"/>
      <c r="U849" s="29"/>
    </row>
    <row r="850" spans="3:21" ht="16.5" customHeight="1">
      <c r="C850" s="29"/>
      <c r="D850" s="29"/>
      <c r="E850" s="29"/>
      <c r="H850" s="29"/>
      <c r="I850" s="29"/>
      <c r="J850" s="29"/>
      <c r="K850" s="31"/>
      <c r="L850" s="32"/>
      <c r="M850" s="29"/>
      <c r="N850" s="29"/>
      <c r="O850" s="29"/>
      <c r="P850" s="29"/>
      <c r="Q850" s="29"/>
      <c r="R850" s="29"/>
      <c r="S850" s="37"/>
      <c r="T850" s="29"/>
      <c r="U850" s="29"/>
    </row>
    <row r="851" spans="3:21" ht="16.5" customHeight="1">
      <c r="C851" s="29"/>
      <c r="D851" s="29"/>
      <c r="E851" s="29"/>
      <c r="H851" s="29"/>
      <c r="I851" s="29"/>
      <c r="J851" s="29"/>
      <c r="K851" s="31"/>
      <c r="L851" s="32"/>
      <c r="M851" s="29"/>
      <c r="N851" s="29"/>
      <c r="O851" s="29"/>
      <c r="P851" s="29"/>
      <c r="Q851" s="29"/>
      <c r="R851" s="29"/>
      <c r="S851" s="37"/>
      <c r="T851" s="29"/>
      <c r="U851" s="29"/>
    </row>
    <row r="852" spans="3:21" ht="16.5" customHeight="1">
      <c r="C852" s="29"/>
      <c r="D852" s="29"/>
      <c r="E852" s="29"/>
      <c r="H852" s="29"/>
      <c r="I852" s="29"/>
      <c r="J852" s="29"/>
      <c r="K852" s="31"/>
      <c r="L852" s="32"/>
      <c r="M852" s="29"/>
      <c r="N852" s="29"/>
      <c r="O852" s="29"/>
      <c r="P852" s="29"/>
      <c r="Q852" s="29"/>
      <c r="R852" s="29"/>
      <c r="S852" s="37"/>
      <c r="T852" s="29"/>
      <c r="U852" s="29"/>
    </row>
    <row r="853" spans="3:21" ht="16.5" customHeight="1">
      <c r="C853" s="29"/>
      <c r="D853" s="29"/>
      <c r="E853" s="29"/>
      <c r="H853" s="29"/>
      <c r="I853" s="29"/>
      <c r="J853" s="29"/>
      <c r="K853" s="31"/>
      <c r="L853" s="32"/>
      <c r="M853" s="29"/>
      <c r="N853" s="29"/>
      <c r="O853" s="29"/>
      <c r="P853" s="29"/>
      <c r="Q853" s="29"/>
      <c r="R853" s="29"/>
      <c r="S853" s="37"/>
      <c r="T853" s="29"/>
      <c r="U853" s="29"/>
    </row>
    <row r="854" spans="3:21" ht="16.5" customHeight="1">
      <c r="C854" s="29"/>
      <c r="D854" s="29"/>
      <c r="E854" s="29"/>
      <c r="H854" s="29"/>
      <c r="I854" s="29"/>
      <c r="J854" s="29"/>
      <c r="K854" s="31"/>
      <c r="L854" s="32"/>
      <c r="M854" s="29"/>
      <c r="N854" s="29"/>
      <c r="O854" s="29"/>
      <c r="P854" s="29"/>
      <c r="Q854" s="29"/>
      <c r="R854" s="29"/>
      <c r="S854" s="37"/>
      <c r="T854" s="29"/>
      <c r="U854" s="29"/>
    </row>
    <row r="855" spans="3:21" ht="16.5" customHeight="1">
      <c r="C855" s="29"/>
      <c r="D855" s="29"/>
      <c r="E855" s="29"/>
      <c r="H855" s="29"/>
      <c r="I855" s="29"/>
      <c r="J855" s="29"/>
      <c r="K855" s="31"/>
      <c r="L855" s="32"/>
      <c r="M855" s="29"/>
      <c r="N855" s="29"/>
      <c r="O855" s="29"/>
      <c r="P855" s="29"/>
      <c r="Q855" s="29"/>
      <c r="R855" s="29"/>
      <c r="S855" s="37"/>
      <c r="T855" s="29"/>
      <c r="U855" s="29"/>
    </row>
    <row r="856" spans="3:21" ht="16.5" customHeight="1">
      <c r="C856" s="29"/>
      <c r="D856" s="29"/>
      <c r="E856" s="29"/>
      <c r="H856" s="29"/>
      <c r="I856" s="29"/>
      <c r="J856" s="29"/>
      <c r="K856" s="31"/>
      <c r="L856" s="32"/>
      <c r="M856" s="29"/>
      <c r="N856" s="29"/>
      <c r="O856" s="29"/>
      <c r="P856" s="29"/>
      <c r="Q856" s="29"/>
      <c r="R856" s="29"/>
      <c r="S856" s="37"/>
      <c r="T856" s="29"/>
      <c r="U856" s="29"/>
    </row>
    <row r="857" spans="3:21" ht="16.5" customHeight="1">
      <c r="C857" s="29"/>
      <c r="D857" s="29"/>
      <c r="E857" s="29"/>
      <c r="H857" s="29"/>
      <c r="I857" s="29"/>
      <c r="J857" s="29"/>
      <c r="K857" s="31"/>
      <c r="L857" s="32"/>
      <c r="M857" s="29"/>
      <c r="N857" s="29"/>
      <c r="O857" s="29"/>
      <c r="P857" s="29"/>
      <c r="Q857" s="29"/>
      <c r="R857" s="29"/>
      <c r="S857" s="37"/>
      <c r="T857" s="29"/>
      <c r="U857" s="29"/>
    </row>
    <row r="858" spans="3:21" ht="16.5" customHeight="1">
      <c r="C858" s="29"/>
      <c r="D858" s="29"/>
      <c r="E858" s="29"/>
      <c r="H858" s="29"/>
      <c r="I858" s="29"/>
      <c r="J858" s="29"/>
      <c r="K858" s="31"/>
      <c r="L858" s="32"/>
      <c r="M858" s="29"/>
      <c r="N858" s="29"/>
      <c r="O858" s="29"/>
      <c r="P858" s="29"/>
      <c r="Q858" s="29"/>
      <c r="R858" s="29"/>
      <c r="S858" s="37"/>
      <c r="T858" s="29"/>
      <c r="U858" s="29"/>
    </row>
    <row r="859" spans="3:21" ht="16.5" customHeight="1">
      <c r="C859" s="29"/>
      <c r="D859" s="29"/>
      <c r="E859" s="29"/>
      <c r="H859" s="29"/>
      <c r="I859" s="29"/>
      <c r="J859" s="29"/>
      <c r="K859" s="31"/>
      <c r="L859" s="32"/>
      <c r="M859" s="29"/>
      <c r="N859" s="29"/>
      <c r="O859" s="29"/>
      <c r="P859" s="29"/>
      <c r="Q859" s="29"/>
      <c r="R859" s="29"/>
      <c r="S859" s="37"/>
      <c r="T859" s="29"/>
      <c r="U859" s="29"/>
    </row>
    <row r="860" spans="3:21" ht="16.5" customHeight="1">
      <c r="C860" s="29"/>
      <c r="D860" s="29"/>
      <c r="E860" s="29"/>
      <c r="H860" s="29"/>
      <c r="I860" s="29"/>
      <c r="J860" s="29"/>
      <c r="K860" s="31"/>
      <c r="L860" s="32"/>
      <c r="M860" s="29"/>
      <c r="N860" s="29"/>
      <c r="O860" s="29"/>
      <c r="P860" s="29"/>
      <c r="Q860" s="29"/>
      <c r="R860" s="29"/>
      <c r="S860" s="37"/>
      <c r="T860" s="29"/>
      <c r="U860" s="29"/>
    </row>
    <row r="861" spans="3:21" ht="16.5" customHeight="1">
      <c r="I861" s="29"/>
      <c r="J861" s="29"/>
      <c r="K861" s="31"/>
      <c r="L861" s="32"/>
      <c r="M861" s="29"/>
      <c r="N861" s="29"/>
      <c r="O861" s="29"/>
      <c r="P861" s="29"/>
      <c r="Q861" s="29"/>
      <c r="R861" s="29"/>
      <c r="S861" s="37"/>
      <c r="T861" s="29"/>
      <c r="U861" s="29"/>
    </row>
    <row r="862" spans="3:21" ht="16.5" customHeight="1">
      <c r="I862" s="29"/>
      <c r="J862" s="29"/>
      <c r="K862" s="31"/>
      <c r="L862" s="32"/>
      <c r="M862" s="29"/>
      <c r="N862" s="29"/>
      <c r="O862" s="29"/>
      <c r="P862" s="29"/>
      <c r="Q862" s="29"/>
      <c r="R862" s="29"/>
      <c r="S862" s="37"/>
      <c r="T862" s="29"/>
      <c r="U862" s="29"/>
    </row>
    <row r="863" spans="3:21" ht="16.5" customHeight="1">
      <c r="N863" s="29"/>
      <c r="O863" s="29"/>
      <c r="P863" s="29"/>
      <c r="Q863" s="29"/>
      <c r="R863" s="29"/>
      <c r="S863" s="37"/>
      <c r="T863" s="29"/>
      <c r="U863" s="29"/>
    </row>
    <row r="864" spans="3:21" ht="16.5" customHeight="1">
      <c r="N864" s="29"/>
      <c r="O864" s="29"/>
      <c r="P864" s="29"/>
      <c r="Q864" s="29"/>
      <c r="R864" s="29"/>
      <c r="S864" s="37"/>
      <c r="T864" s="29"/>
      <c r="U864" s="29"/>
    </row>
    <row r="865" spans="14:21" ht="16.5" customHeight="1">
      <c r="N865" s="29"/>
      <c r="O865" s="29"/>
      <c r="P865" s="29"/>
      <c r="Q865" s="29"/>
      <c r="R865" s="29"/>
      <c r="S865" s="37"/>
      <c r="T865" s="29"/>
      <c r="U865" s="29"/>
    </row>
    <row r="866" spans="14:21" ht="16.5" customHeight="1">
      <c r="N866" s="29"/>
      <c r="O866" s="29"/>
      <c r="P866" s="29"/>
      <c r="Q866" s="29"/>
      <c r="R866" s="29"/>
      <c r="S866" s="37"/>
      <c r="T866" s="29"/>
      <c r="U866" s="29"/>
    </row>
    <row r="867" spans="14:21" ht="16.5" customHeight="1">
      <c r="N867" s="29"/>
      <c r="O867" s="29"/>
      <c r="P867" s="29"/>
      <c r="Q867" s="29"/>
      <c r="R867" s="29"/>
      <c r="S867" s="37"/>
      <c r="T867" s="29"/>
      <c r="U867" s="29"/>
    </row>
    <row r="868" spans="14:21" ht="16.5" customHeight="1">
      <c r="N868" s="29"/>
      <c r="O868" s="29"/>
      <c r="P868" s="29"/>
      <c r="Q868" s="29"/>
      <c r="R868" s="29"/>
      <c r="S868" s="37"/>
      <c r="T868" s="29"/>
      <c r="U868" s="29"/>
    </row>
    <row r="869" spans="14:21" ht="16.5" customHeight="1">
      <c r="N869" s="29"/>
      <c r="O869" s="29"/>
      <c r="P869" s="29"/>
      <c r="Q869" s="29"/>
      <c r="R869" s="29"/>
      <c r="S869" s="37"/>
      <c r="T869" s="29"/>
      <c r="U869" s="29"/>
    </row>
    <row r="870" spans="14:21" ht="16.5" customHeight="1">
      <c r="N870" s="29"/>
      <c r="O870" s="29"/>
      <c r="P870" s="29"/>
      <c r="Q870" s="29"/>
      <c r="R870" s="29"/>
      <c r="S870" s="37"/>
      <c r="T870" s="29"/>
      <c r="U870" s="29"/>
    </row>
    <row r="871" spans="14:21" ht="16.5" customHeight="1">
      <c r="N871" s="29"/>
      <c r="O871" s="29"/>
      <c r="P871" s="29"/>
      <c r="Q871" s="29"/>
      <c r="R871" s="29"/>
      <c r="S871" s="37"/>
      <c r="T871" s="29"/>
      <c r="U871" s="29"/>
    </row>
    <row r="872" spans="14:21" ht="16.5" customHeight="1"/>
  </sheetData>
  <mergeCells count="23">
    <mergeCell ref="Q2:Q4"/>
    <mergeCell ref="A1:U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N3:O3"/>
    <mergeCell ref="N2:P2"/>
    <mergeCell ref="A103:B103"/>
    <mergeCell ref="J2:J4"/>
    <mergeCell ref="K2:K4"/>
    <mergeCell ref="L2:L4"/>
    <mergeCell ref="M2:M4"/>
    <mergeCell ref="S105:T105"/>
    <mergeCell ref="R2:R4"/>
    <mergeCell ref="S2:S4"/>
    <mergeCell ref="T2:T4"/>
    <mergeCell ref="U2:U4"/>
  </mergeCells>
  <phoneticPr fontId="3" type="noConversion"/>
  <printOptions horizontalCentered="1"/>
  <pageMargins left="3.937007874015748E-2" right="3.937007874015748E-2" top="0.19685039370078741" bottom="0.19685039370078741" header="0.31496062992125984" footer="0.31496062992125984"/>
  <pageSetup paperSize="8" scale="6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N3" sqref="N3"/>
    </sheetView>
  </sheetViews>
  <sheetFormatPr defaultRowHeight="19.8"/>
  <cols>
    <col min="2" max="2" width="19.5546875" style="33" customWidth="1"/>
    <col min="3" max="3" width="18.44140625" style="50" customWidth="1"/>
    <col min="4" max="4" width="15.109375" style="50" customWidth="1"/>
    <col min="5" max="5" width="17" style="50" customWidth="1"/>
    <col min="6" max="6" width="16.44140625" style="106" customWidth="1"/>
    <col min="7" max="7" width="22.6640625" style="109" customWidth="1"/>
  </cols>
  <sheetData>
    <row r="1" spans="1:7" ht="70.2" customHeight="1">
      <c r="A1" s="100" t="s">
        <v>133</v>
      </c>
      <c r="B1" s="100"/>
      <c r="C1" s="100"/>
      <c r="D1" s="100"/>
      <c r="E1" s="100"/>
      <c r="F1" s="100"/>
      <c r="G1" s="100"/>
    </row>
    <row r="2" spans="1:7" ht="16.2" customHeight="1">
      <c r="A2" s="101" t="s">
        <v>124</v>
      </c>
      <c r="B2" s="102" t="s">
        <v>125</v>
      </c>
      <c r="C2" s="94" t="s">
        <v>129</v>
      </c>
      <c r="D2" s="94" t="s">
        <v>128</v>
      </c>
      <c r="E2" s="97" t="s">
        <v>130</v>
      </c>
      <c r="F2" s="103" t="s">
        <v>131</v>
      </c>
      <c r="G2" s="111" t="s">
        <v>132</v>
      </c>
    </row>
    <row r="3" spans="1:7" ht="16.2" customHeight="1">
      <c r="A3" s="101"/>
      <c r="B3" s="102"/>
      <c r="C3" s="95"/>
      <c r="D3" s="95"/>
      <c r="E3" s="98"/>
      <c r="F3" s="104"/>
      <c r="G3" s="112"/>
    </row>
    <row r="4" spans="1:7" ht="63" customHeight="1">
      <c r="A4" s="101"/>
      <c r="B4" s="102"/>
      <c r="C4" s="96"/>
      <c r="D4" s="96"/>
      <c r="E4" s="99"/>
      <c r="F4" s="105"/>
      <c r="G4" s="113"/>
    </row>
    <row r="5" spans="1:7">
      <c r="A5" s="42">
        <v>1</v>
      </c>
      <c r="B5" s="43" t="s">
        <v>23</v>
      </c>
      <c r="C5" s="44">
        <v>367310</v>
      </c>
      <c r="D5" s="44">
        <f>VLOOKUP(B5,'107學年度第2學期經費核定表'!$B$5:$Q$102,16,FALSE)</f>
        <v>0</v>
      </c>
      <c r="E5" s="44">
        <f>C5+D5</f>
        <v>367310</v>
      </c>
      <c r="F5" s="54">
        <v>108559</v>
      </c>
      <c r="G5" s="114">
        <f>E5-F5</f>
        <v>258751</v>
      </c>
    </row>
    <row r="6" spans="1:7">
      <c r="A6" s="42">
        <v>2</v>
      </c>
      <c r="B6" s="45" t="s">
        <v>24</v>
      </c>
      <c r="C6" s="44">
        <v>1499377</v>
      </c>
      <c r="D6" s="44">
        <f>VLOOKUP(B6,'107學年度第2學期經費核定表'!$B$5:$Q$102,16,FALSE)</f>
        <v>4070</v>
      </c>
      <c r="E6" s="44">
        <f t="shared" ref="E6:E69" si="0">C6+D6</f>
        <v>1503447</v>
      </c>
      <c r="F6" s="54">
        <v>504782</v>
      </c>
      <c r="G6" s="114">
        <f t="shared" ref="G6:G69" si="1">E6-F6</f>
        <v>998665</v>
      </c>
    </row>
    <row r="7" spans="1:7">
      <c r="A7" s="42">
        <v>3</v>
      </c>
      <c r="B7" s="45" t="s">
        <v>25</v>
      </c>
      <c r="C7" s="44">
        <v>806791</v>
      </c>
      <c r="D7" s="44">
        <f>VLOOKUP(B7,'107學年度第2學期經費核定表'!$B$5:$Q$102,16,FALSE)</f>
        <v>0</v>
      </c>
      <c r="E7" s="44">
        <f t="shared" si="0"/>
        <v>806791</v>
      </c>
      <c r="F7" s="54">
        <v>272377</v>
      </c>
      <c r="G7" s="114">
        <f t="shared" si="1"/>
        <v>534414</v>
      </c>
    </row>
    <row r="8" spans="1:7">
      <c r="A8" s="42">
        <v>4</v>
      </c>
      <c r="B8" s="45" t="s">
        <v>26</v>
      </c>
      <c r="C8" s="44">
        <v>409869</v>
      </c>
      <c r="D8" s="44">
        <f>VLOOKUP(B8,'107學年度第2學期經費核定表'!$B$5:$Q$102,16,FALSE)</f>
        <v>0</v>
      </c>
      <c r="E8" s="44">
        <f t="shared" si="0"/>
        <v>409869</v>
      </c>
      <c r="F8" s="54">
        <v>141553</v>
      </c>
      <c r="G8" s="114">
        <f t="shared" si="1"/>
        <v>268316</v>
      </c>
    </row>
    <row r="9" spans="1:7">
      <c r="A9" s="42">
        <v>5</v>
      </c>
      <c r="B9" s="45" t="s">
        <v>27</v>
      </c>
      <c r="C9" s="44">
        <v>1128565</v>
      </c>
      <c r="D9" s="44">
        <f>VLOOKUP(B9,'107學年度第2學期經費核定表'!$B$5:$Q$102,16,FALSE)</f>
        <v>0</v>
      </c>
      <c r="E9" s="44">
        <f t="shared" si="0"/>
        <v>1128565</v>
      </c>
      <c r="F9" s="54">
        <v>384998</v>
      </c>
      <c r="G9" s="114">
        <f t="shared" si="1"/>
        <v>743567</v>
      </c>
    </row>
    <row r="10" spans="1:7">
      <c r="A10" s="42">
        <v>6</v>
      </c>
      <c r="B10" s="45" t="s">
        <v>28</v>
      </c>
      <c r="C10" s="44">
        <v>131440</v>
      </c>
      <c r="D10" s="44">
        <f>VLOOKUP(B10,'107學年度第2學期經費核定表'!$B$5:$Q$102,16,FALSE)</f>
        <v>6343</v>
      </c>
      <c r="E10" s="44">
        <f t="shared" si="0"/>
        <v>137783</v>
      </c>
      <c r="F10" s="54">
        <v>46004</v>
      </c>
      <c r="G10" s="114">
        <f t="shared" si="1"/>
        <v>91779</v>
      </c>
    </row>
    <row r="11" spans="1:7">
      <c r="A11" s="42">
        <v>7</v>
      </c>
      <c r="B11" s="45" t="s">
        <v>29</v>
      </c>
      <c r="C11" s="44">
        <v>139710</v>
      </c>
      <c r="D11" s="44">
        <f>VLOOKUP(B11,'107學年度第2學期經費核定表'!$B$5:$Q$102,16,FALSE)</f>
        <v>0</v>
      </c>
      <c r="E11" s="44">
        <f t="shared" si="0"/>
        <v>139710</v>
      </c>
      <c r="F11" s="54">
        <v>48899</v>
      </c>
      <c r="G11" s="114">
        <f t="shared" si="1"/>
        <v>90811</v>
      </c>
    </row>
    <row r="12" spans="1:7">
      <c r="A12" s="42">
        <v>8</v>
      </c>
      <c r="B12" s="45" t="s">
        <v>30</v>
      </c>
      <c r="C12" s="44">
        <v>519572</v>
      </c>
      <c r="D12" s="44">
        <f>VLOOKUP(B12,'107學年度第2學期經費核定表'!$B$5:$Q$102,16,FALSE)</f>
        <v>0</v>
      </c>
      <c r="E12" s="44">
        <f t="shared" si="0"/>
        <v>519572</v>
      </c>
      <c r="F12" s="54">
        <v>171850</v>
      </c>
      <c r="G12" s="114">
        <f t="shared" si="1"/>
        <v>347722</v>
      </c>
    </row>
    <row r="13" spans="1:7">
      <c r="A13" s="42">
        <v>9</v>
      </c>
      <c r="B13" s="45" t="s">
        <v>31</v>
      </c>
      <c r="C13" s="44">
        <v>638638</v>
      </c>
      <c r="D13" s="44">
        <f>VLOOKUP(B13,'107學年度第2學期經費核定表'!$B$5:$Q$102,16,FALSE)</f>
        <v>7080</v>
      </c>
      <c r="E13" s="44">
        <f t="shared" si="0"/>
        <v>645718</v>
      </c>
      <c r="F13" s="54">
        <v>223523</v>
      </c>
      <c r="G13" s="114">
        <f t="shared" si="1"/>
        <v>422195</v>
      </c>
    </row>
    <row r="14" spans="1:7">
      <c r="A14" s="42">
        <v>10</v>
      </c>
      <c r="B14" s="45" t="s">
        <v>32</v>
      </c>
      <c r="C14" s="44">
        <v>113004</v>
      </c>
      <c r="D14" s="44">
        <f>VLOOKUP(B14,'107學年度第2學期經費核定表'!$B$5:$Q$102,16,FALSE)</f>
        <v>1280</v>
      </c>
      <c r="E14" s="44">
        <f t="shared" si="0"/>
        <v>114284</v>
      </c>
      <c r="F14" s="54">
        <v>39551</v>
      </c>
      <c r="G14" s="114">
        <f t="shared" si="1"/>
        <v>74733</v>
      </c>
    </row>
    <row r="15" spans="1:7">
      <c r="A15" s="42">
        <v>11</v>
      </c>
      <c r="B15" s="45" t="s">
        <v>33</v>
      </c>
      <c r="C15" s="44">
        <v>464218</v>
      </c>
      <c r="D15" s="44">
        <f>VLOOKUP(B15,'107學年度第2學期經費核定表'!$B$5:$Q$102,16,FALSE)</f>
        <v>0</v>
      </c>
      <c r="E15" s="44">
        <f t="shared" si="0"/>
        <v>464218</v>
      </c>
      <c r="F15" s="54">
        <v>152476</v>
      </c>
      <c r="G15" s="114">
        <f t="shared" si="1"/>
        <v>311742</v>
      </c>
    </row>
    <row r="16" spans="1:7">
      <c r="A16" s="42">
        <v>12</v>
      </c>
      <c r="B16" s="45" t="s">
        <v>34</v>
      </c>
      <c r="C16" s="44">
        <v>79200</v>
      </c>
      <c r="D16" s="44">
        <f>VLOOKUP(B16,'107學年度第2學期經費核定表'!$B$5:$Q$102,16,FALSE)</f>
        <v>3720</v>
      </c>
      <c r="E16" s="44">
        <f t="shared" si="0"/>
        <v>82920</v>
      </c>
      <c r="F16" s="54">
        <v>27720</v>
      </c>
      <c r="G16" s="114">
        <f t="shared" si="1"/>
        <v>55200</v>
      </c>
    </row>
    <row r="17" spans="1:7">
      <c r="A17" s="42">
        <v>13</v>
      </c>
      <c r="B17" s="45" t="s">
        <v>35</v>
      </c>
      <c r="C17" s="44">
        <v>198000</v>
      </c>
      <c r="D17" s="44">
        <f>VLOOKUP(B17,'107學年度第2學期經費核定表'!$B$5:$Q$102,16,FALSE)</f>
        <v>0</v>
      </c>
      <c r="E17" s="44">
        <f t="shared" si="0"/>
        <v>198000</v>
      </c>
      <c r="F17" s="54">
        <v>69300</v>
      </c>
      <c r="G17" s="114">
        <f t="shared" si="1"/>
        <v>128700</v>
      </c>
    </row>
    <row r="18" spans="1:7">
      <c r="A18" s="42">
        <v>14</v>
      </c>
      <c r="B18" s="45" t="s">
        <v>36</v>
      </c>
      <c r="C18" s="44">
        <v>462457</v>
      </c>
      <c r="D18" s="44">
        <f>VLOOKUP(B18,'107學年度第2學期經費核定表'!$B$5:$Q$102,16,FALSE)</f>
        <v>0</v>
      </c>
      <c r="E18" s="44">
        <f t="shared" si="0"/>
        <v>462457</v>
      </c>
      <c r="F18" s="54">
        <v>161860</v>
      </c>
      <c r="G18" s="114">
        <f t="shared" si="1"/>
        <v>300597</v>
      </c>
    </row>
    <row r="19" spans="1:7">
      <c r="A19" s="42">
        <v>15</v>
      </c>
      <c r="B19" s="45" t="s">
        <v>37</v>
      </c>
      <c r="C19" s="44">
        <v>157080</v>
      </c>
      <c r="D19" s="44">
        <f>VLOOKUP(B19,'107學年度第2學期經費核定表'!$B$5:$Q$102,16,FALSE)</f>
        <v>660</v>
      </c>
      <c r="E19" s="44">
        <f t="shared" si="0"/>
        <v>157740</v>
      </c>
      <c r="F19" s="54">
        <v>54978</v>
      </c>
      <c r="G19" s="114">
        <f t="shared" si="1"/>
        <v>102762</v>
      </c>
    </row>
    <row r="20" spans="1:7">
      <c r="A20" s="42">
        <v>16</v>
      </c>
      <c r="B20" s="45" t="s">
        <v>38</v>
      </c>
      <c r="C20" s="44">
        <v>97110</v>
      </c>
      <c r="D20" s="44">
        <f>VLOOKUP(B20,'107學年度第2學期經費核定表'!$B$5:$Q$102,16,FALSE)</f>
        <v>0</v>
      </c>
      <c r="E20" s="44">
        <f t="shared" si="0"/>
        <v>97110</v>
      </c>
      <c r="F20" s="54">
        <v>33989</v>
      </c>
      <c r="G20" s="114">
        <f t="shared" si="1"/>
        <v>63121</v>
      </c>
    </row>
    <row r="21" spans="1:7">
      <c r="A21" s="42">
        <v>17</v>
      </c>
      <c r="B21" s="45" t="s">
        <v>39</v>
      </c>
      <c r="C21" s="44">
        <v>290308</v>
      </c>
      <c r="D21" s="44">
        <f>VLOOKUP(B21,'107學年度第2學期經費核定表'!$B$5:$Q$102,16,FALSE)</f>
        <v>2520</v>
      </c>
      <c r="E21" s="44">
        <f t="shared" si="0"/>
        <v>292828</v>
      </c>
      <c r="F21" s="54">
        <v>101608</v>
      </c>
      <c r="G21" s="114">
        <f t="shared" si="1"/>
        <v>191220</v>
      </c>
    </row>
    <row r="22" spans="1:7">
      <c r="A22" s="42">
        <v>18</v>
      </c>
      <c r="B22" s="45" t="s">
        <v>40</v>
      </c>
      <c r="C22" s="44">
        <v>1792455</v>
      </c>
      <c r="D22" s="44">
        <f>VLOOKUP(B22,'107學年度第2學期經費核定表'!$B$5:$Q$102,16,FALSE)</f>
        <v>10336</v>
      </c>
      <c r="E22" s="44">
        <f t="shared" si="0"/>
        <v>1802791</v>
      </c>
      <c r="F22" s="54">
        <v>607359</v>
      </c>
      <c r="G22" s="114">
        <f t="shared" si="1"/>
        <v>1195432</v>
      </c>
    </row>
    <row r="23" spans="1:7">
      <c r="A23" s="42">
        <v>19</v>
      </c>
      <c r="B23" s="45" t="s">
        <v>41</v>
      </c>
      <c r="C23" s="44">
        <v>741443</v>
      </c>
      <c r="D23" s="44">
        <f>VLOOKUP(B23,'107學年度第2學期經費核定表'!$B$5:$Q$102,16,FALSE)</f>
        <v>13920</v>
      </c>
      <c r="E23" s="44">
        <f t="shared" si="0"/>
        <v>755363</v>
      </c>
      <c r="F23" s="54">
        <v>259505</v>
      </c>
      <c r="G23" s="114">
        <f t="shared" si="1"/>
        <v>495858</v>
      </c>
    </row>
    <row r="24" spans="1:7">
      <c r="A24" s="42">
        <v>20</v>
      </c>
      <c r="B24" s="45" t="s">
        <v>42</v>
      </c>
      <c r="C24" s="44">
        <v>69300</v>
      </c>
      <c r="D24" s="44">
        <f>VLOOKUP(B24,'107學年度第2學期經費核定表'!$B$5:$Q$102,16,FALSE)</f>
        <v>420</v>
      </c>
      <c r="E24" s="44">
        <f t="shared" si="0"/>
        <v>69720</v>
      </c>
      <c r="F24" s="54">
        <v>24255</v>
      </c>
      <c r="G24" s="114">
        <f t="shared" si="1"/>
        <v>45465</v>
      </c>
    </row>
    <row r="25" spans="1:7">
      <c r="A25" s="42">
        <v>21</v>
      </c>
      <c r="B25" s="45" t="s">
        <v>43</v>
      </c>
      <c r="C25" s="44">
        <v>195326</v>
      </c>
      <c r="D25" s="44">
        <f>VLOOKUP(B25,'107學年度第2學期經費核定表'!$B$5:$Q$102,16,FALSE)</f>
        <v>0</v>
      </c>
      <c r="E25" s="44">
        <f t="shared" si="0"/>
        <v>195326</v>
      </c>
      <c r="F25" s="54">
        <v>68364</v>
      </c>
      <c r="G25" s="114">
        <f t="shared" si="1"/>
        <v>126962</v>
      </c>
    </row>
    <row r="26" spans="1:7">
      <c r="A26" s="42">
        <v>22</v>
      </c>
      <c r="B26" s="45" t="s">
        <v>44</v>
      </c>
      <c r="C26" s="44">
        <v>67705</v>
      </c>
      <c r="D26" s="44">
        <f>VLOOKUP(B26,'107學年度第2學期經費核定表'!$B$5:$Q$102,16,FALSE)</f>
        <v>360</v>
      </c>
      <c r="E26" s="44">
        <f t="shared" si="0"/>
        <v>68065</v>
      </c>
      <c r="F26" s="54">
        <v>23697</v>
      </c>
      <c r="G26" s="114">
        <f t="shared" si="1"/>
        <v>44368</v>
      </c>
    </row>
    <row r="27" spans="1:7">
      <c r="A27" s="42">
        <v>23</v>
      </c>
      <c r="B27" s="45" t="s">
        <v>45</v>
      </c>
      <c r="C27" s="44">
        <v>493766</v>
      </c>
      <c r="D27" s="44">
        <f>VLOOKUP(B27,'107學年度第2學期經費核定表'!$B$5:$Q$102,16,FALSE)</f>
        <v>4221</v>
      </c>
      <c r="E27" s="44">
        <f t="shared" si="0"/>
        <v>497987</v>
      </c>
      <c r="F27" s="54">
        <v>172818</v>
      </c>
      <c r="G27" s="114">
        <f t="shared" si="1"/>
        <v>325169</v>
      </c>
    </row>
    <row r="28" spans="1:7">
      <c r="A28" s="42">
        <v>24</v>
      </c>
      <c r="B28" s="45" t="s">
        <v>46</v>
      </c>
      <c r="C28" s="44">
        <v>612384</v>
      </c>
      <c r="D28" s="44">
        <f>VLOOKUP(B28,'107學年度第2學期經費核定表'!$B$5:$Q$102,16,FALSE)</f>
        <v>9360</v>
      </c>
      <c r="E28" s="44">
        <f t="shared" si="0"/>
        <v>621744</v>
      </c>
      <c r="F28" s="54">
        <v>214334</v>
      </c>
      <c r="G28" s="114">
        <f t="shared" si="1"/>
        <v>407410</v>
      </c>
    </row>
    <row r="29" spans="1:7">
      <c r="A29" s="42">
        <v>25</v>
      </c>
      <c r="B29" s="45" t="s">
        <v>47</v>
      </c>
      <c r="C29" s="44">
        <v>47300</v>
      </c>
      <c r="D29" s="44">
        <f>VLOOKUP(B29,'107學年度第2學期經費核定表'!$B$5:$Q$102,16,FALSE)</f>
        <v>0</v>
      </c>
      <c r="E29" s="44">
        <f t="shared" si="0"/>
        <v>47300</v>
      </c>
      <c r="F29" s="54">
        <v>16555</v>
      </c>
      <c r="G29" s="114">
        <f t="shared" si="1"/>
        <v>30745</v>
      </c>
    </row>
    <row r="30" spans="1:7">
      <c r="A30" s="42">
        <v>26</v>
      </c>
      <c r="B30" s="45" t="s">
        <v>48</v>
      </c>
      <c r="C30" s="44">
        <v>46260</v>
      </c>
      <c r="D30" s="44">
        <f>VLOOKUP(B30,'107學年度第2學期經費核定表'!$B$5:$Q$102,16,FALSE)</f>
        <v>0</v>
      </c>
      <c r="E30" s="44">
        <f t="shared" si="0"/>
        <v>46260</v>
      </c>
      <c r="F30" s="54">
        <v>16190.999999999998</v>
      </c>
      <c r="G30" s="114">
        <f t="shared" si="1"/>
        <v>30069</v>
      </c>
    </row>
    <row r="31" spans="1:7">
      <c r="A31" s="42">
        <v>27</v>
      </c>
      <c r="B31" s="45" t="s">
        <v>49</v>
      </c>
      <c r="C31" s="44">
        <v>69960</v>
      </c>
      <c r="D31" s="44">
        <f>VLOOKUP(B31,'107學年度第2學期經費核定表'!$B$5:$Q$102,16,FALSE)</f>
        <v>360</v>
      </c>
      <c r="E31" s="44">
        <f t="shared" si="0"/>
        <v>70320</v>
      </c>
      <c r="F31" s="54">
        <v>24486</v>
      </c>
      <c r="G31" s="114">
        <f t="shared" si="1"/>
        <v>45834</v>
      </c>
    </row>
    <row r="32" spans="1:7">
      <c r="A32" s="42">
        <v>28</v>
      </c>
      <c r="B32" s="45" t="s">
        <v>50</v>
      </c>
      <c r="C32" s="44">
        <v>132040</v>
      </c>
      <c r="D32" s="44">
        <f>VLOOKUP(B32,'107學年度第2學期經費核定表'!$B$5:$Q$102,16,FALSE)</f>
        <v>0</v>
      </c>
      <c r="E32" s="44">
        <f t="shared" si="0"/>
        <v>132040</v>
      </c>
      <c r="F32" s="54">
        <v>46214</v>
      </c>
      <c r="G32" s="114">
        <f t="shared" si="1"/>
        <v>85826</v>
      </c>
    </row>
    <row r="33" spans="1:7">
      <c r="A33" s="42">
        <v>29</v>
      </c>
      <c r="B33" s="45" t="s">
        <v>51</v>
      </c>
      <c r="C33" s="44">
        <v>39270</v>
      </c>
      <c r="D33" s="44">
        <f>VLOOKUP(B33,'107學年度第2學期經費核定表'!$B$5:$Q$102,16,FALSE)</f>
        <v>360</v>
      </c>
      <c r="E33" s="44">
        <f t="shared" si="0"/>
        <v>39630</v>
      </c>
      <c r="F33" s="54">
        <v>13745</v>
      </c>
      <c r="G33" s="114">
        <f t="shared" si="1"/>
        <v>25885</v>
      </c>
    </row>
    <row r="34" spans="1:7" s="49" customFormat="1">
      <c r="A34" s="46">
        <v>30</v>
      </c>
      <c r="B34" s="53" t="s">
        <v>52</v>
      </c>
      <c r="C34" s="48">
        <f>38607+13873</f>
        <v>52480</v>
      </c>
      <c r="D34" s="48">
        <f>VLOOKUP(B34,'107學年度第2學期經費核定表'!$B$5:$Q$102,16,FALSE)</f>
        <v>480</v>
      </c>
      <c r="E34" s="48">
        <f t="shared" si="0"/>
        <v>52960</v>
      </c>
      <c r="F34" s="54">
        <v>13512</v>
      </c>
      <c r="G34" s="114">
        <f t="shared" si="1"/>
        <v>39448</v>
      </c>
    </row>
    <row r="35" spans="1:7">
      <c r="A35" s="42">
        <v>31</v>
      </c>
      <c r="B35" s="45" t="s">
        <v>53</v>
      </c>
      <c r="C35" s="44">
        <v>89500</v>
      </c>
      <c r="D35" s="44">
        <f>VLOOKUP(B35,'107學年度第2學期經費核定表'!$B$5:$Q$102,16,FALSE)</f>
        <v>720</v>
      </c>
      <c r="E35" s="44">
        <f t="shared" si="0"/>
        <v>90220</v>
      </c>
      <c r="F35" s="54">
        <v>31324.999999999996</v>
      </c>
      <c r="G35" s="114">
        <f t="shared" si="1"/>
        <v>58895</v>
      </c>
    </row>
    <row r="36" spans="1:7">
      <c r="A36" s="42">
        <v>32</v>
      </c>
      <c r="B36" s="45" t="s">
        <v>54</v>
      </c>
      <c r="C36" s="44">
        <v>105740</v>
      </c>
      <c r="D36" s="44">
        <f>VLOOKUP(B36,'107學年度第2學期經費核定表'!$B$5:$Q$102,16,FALSE)</f>
        <v>0</v>
      </c>
      <c r="E36" s="44">
        <f t="shared" si="0"/>
        <v>105740</v>
      </c>
      <c r="F36" s="54">
        <v>37009</v>
      </c>
      <c r="G36" s="114">
        <f t="shared" si="1"/>
        <v>68731</v>
      </c>
    </row>
    <row r="37" spans="1:7">
      <c r="A37" s="42">
        <v>33</v>
      </c>
      <c r="B37" s="45" t="s">
        <v>55</v>
      </c>
      <c r="C37" s="44">
        <v>89100</v>
      </c>
      <c r="D37" s="44">
        <f>VLOOKUP(B37,'107學年度第2學期經費核定表'!$B$5:$Q$102,16,FALSE)</f>
        <v>540</v>
      </c>
      <c r="E37" s="44">
        <f t="shared" si="0"/>
        <v>89640</v>
      </c>
      <c r="F37" s="54">
        <v>31184.999999999996</v>
      </c>
      <c r="G37" s="114">
        <f t="shared" si="1"/>
        <v>58455</v>
      </c>
    </row>
    <row r="38" spans="1:7">
      <c r="A38" s="42">
        <v>34</v>
      </c>
      <c r="B38" s="45" t="s">
        <v>56</v>
      </c>
      <c r="C38" s="44">
        <v>106940</v>
      </c>
      <c r="D38" s="44">
        <f>VLOOKUP(B38,'107學年度第2學期經費核定表'!$B$5:$Q$102,16,FALSE)</f>
        <v>600</v>
      </c>
      <c r="E38" s="44">
        <f t="shared" si="0"/>
        <v>107540</v>
      </c>
      <c r="F38" s="54">
        <v>37429</v>
      </c>
      <c r="G38" s="114">
        <f t="shared" si="1"/>
        <v>70111</v>
      </c>
    </row>
    <row r="39" spans="1:7">
      <c r="A39" s="42">
        <v>35</v>
      </c>
      <c r="B39" s="45" t="s">
        <v>57</v>
      </c>
      <c r="C39" s="44">
        <v>77220</v>
      </c>
      <c r="D39" s="44">
        <f>VLOOKUP(B39,'107學年度第2學期經費核定表'!$B$5:$Q$102,16,FALSE)</f>
        <v>840</v>
      </c>
      <c r="E39" s="44">
        <f t="shared" si="0"/>
        <v>78060</v>
      </c>
      <c r="F39" s="54">
        <v>27027</v>
      </c>
      <c r="G39" s="114">
        <f t="shared" si="1"/>
        <v>51033</v>
      </c>
    </row>
    <row r="40" spans="1:7">
      <c r="A40" s="42">
        <v>36</v>
      </c>
      <c r="B40" s="45" t="s">
        <v>58</v>
      </c>
      <c r="C40" s="44">
        <v>69609</v>
      </c>
      <c r="D40" s="44">
        <f>VLOOKUP(B40,'107學年度第2學期經費核定表'!$B$5:$Q$102,16,FALSE)</f>
        <v>300</v>
      </c>
      <c r="E40" s="44">
        <f t="shared" si="0"/>
        <v>69909</v>
      </c>
      <c r="F40" s="54">
        <v>24363</v>
      </c>
      <c r="G40" s="114">
        <f t="shared" si="1"/>
        <v>45546</v>
      </c>
    </row>
    <row r="41" spans="1:7">
      <c r="A41" s="42">
        <v>37</v>
      </c>
      <c r="B41" s="45" t="s">
        <v>59</v>
      </c>
      <c r="C41" s="44">
        <v>63360</v>
      </c>
      <c r="D41" s="44">
        <f>VLOOKUP(B41,'107學年度第2學期經費核定表'!$B$5:$Q$102,16,FALSE)</f>
        <v>120</v>
      </c>
      <c r="E41" s="44">
        <f t="shared" si="0"/>
        <v>63480</v>
      </c>
      <c r="F41" s="54">
        <v>22176</v>
      </c>
      <c r="G41" s="114">
        <f t="shared" si="1"/>
        <v>41304</v>
      </c>
    </row>
    <row r="42" spans="1:7">
      <c r="A42" s="42">
        <v>38</v>
      </c>
      <c r="B42" s="45" t="s">
        <v>60</v>
      </c>
      <c r="C42" s="44">
        <v>77220</v>
      </c>
      <c r="D42" s="44">
        <f>VLOOKUP(B42,'107學年度第2學期經費核定表'!$B$5:$Q$102,16,FALSE)</f>
        <v>0</v>
      </c>
      <c r="E42" s="44">
        <f t="shared" si="0"/>
        <v>77220</v>
      </c>
      <c r="F42" s="54">
        <v>27027</v>
      </c>
      <c r="G42" s="114">
        <f t="shared" si="1"/>
        <v>50193</v>
      </c>
    </row>
    <row r="43" spans="1:7">
      <c r="A43" s="42">
        <v>39</v>
      </c>
      <c r="B43" s="45" t="s">
        <v>61</v>
      </c>
      <c r="C43" s="44">
        <v>70638</v>
      </c>
      <c r="D43" s="44">
        <f>VLOOKUP(B43,'107學年度第2學期經費核定表'!$B$5:$Q$102,16,FALSE)</f>
        <v>600</v>
      </c>
      <c r="E43" s="44">
        <f t="shared" si="0"/>
        <v>71238</v>
      </c>
      <c r="F43" s="54">
        <v>24723</v>
      </c>
      <c r="G43" s="114">
        <f t="shared" si="1"/>
        <v>46515</v>
      </c>
    </row>
    <row r="44" spans="1:7">
      <c r="A44" s="42">
        <v>40</v>
      </c>
      <c r="B44" s="45" t="s">
        <v>62</v>
      </c>
      <c r="C44" s="44">
        <v>308880</v>
      </c>
      <c r="D44" s="44">
        <f>VLOOKUP(B44,'107學年度第2學期經費核定表'!$B$5:$Q$102,16,FALSE)</f>
        <v>116</v>
      </c>
      <c r="E44" s="44">
        <f t="shared" si="0"/>
        <v>308996</v>
      </c>
      <c r="F44" s="54">
        <v>108108</v>
      </c>
      <c r="G44" s="114">
        <f t="shared" si="1"/>
        <v>200888</v>
      </c>
    </row>
    <row r="45" spans="1:7">
      <c r="A45" s="42">
        <v>41</v>
      </c>
      <c r="B45" s="45" t="s">
        <v>63</v>
      </c>
      <c r="C45" s="44">
        <v>49801</v>
      </c>
      <c r="D45" s="44">
        <f>VLOOKUP(B45,'107學年度第2學期經費核定表'!$B$5:$Q$102,16,FALSE)</f>
        <v>0</v>
      </c>
      <c r="E45" s="44">
        <f t="shared" si="0"/>
        <v>49801</v>
      </c>
      <c r="F45" s="54">
        <v>17430</v>
      </c>
      <c r="G45" s="114">
        <f t="shared" si="1"/>
        <v>32371</v>
      </c>
    </row>
    <row r="46" spans="1:7">
      <c r="A46" s="42">
        <v>42</v>
      </c>
      <c r="B46" s="45" t="s">
        <v>64</v>
      </c>
      <c r="C46" s="44">
        <v>148500</v>
      </c>
      <c r="D46" s="44">
        <f>VLOOKUP(B46,'107學年度第2學期經費核定表'!$B$5:$Q$102,16,FALSE)</f>
        <v>0</v>
      </c>
      <c r="E46" s="44">
        <f t="shared" si="0"/>
        <v>148500</v>
      </c>
      <c r="F46" s="54">
        <v>51975</v>
      </c>
      <c r="G46" s="114">
        <f t="shared" si="1"/>
        <v>96525</v>
      </c>
    </row>
    <row r="47" spans="1:7">
      <c r="A47" s="42">
        <v>43</v>
      </c>
      <c r="B47" s="45" t="s">
        <v>65</v>
      </c>
      <c r="C47" s="44">
        <v>72150</v>
      </c>
      <c r="D47" s="44">
        <f>VLOOKUP(B47,'107學年度第2學期經費核定表'!$B$5:$Q$102,16,FALSE)</f>
        <v>0</v>
      </c>
      <c r="E47" s="44">
        <f t="shared" si="0"/>
        <v>72150</v>
      </c>
      <c r="F47" s="54">
        <v>25253</v>
      </c>
      <c r="G47" s="114">
        <f t="shared" si="1"/>
        <v>46897</v>
      </c>
    </row>
    <row r="48" spans="1:7">
      <c r="A48" s="42">
        <v>44</v>
      </c>
      <c r="B48" s="45" t="s">
        <v>66</v>
      </c>
      <c r="C48" s="44">
        <v>144908</v>
      </c>
      <c r="D48" s="44">
        <f>VLOOKUP(B48,'107學年度第2學期經費核定表'!$B$5:$Q$102,16,FALSE)</f>
        <v>0</v>
      </c>
      <c r="E48" s="44">
        <f t="shared" si="0"/>
        <v>144908</v>
      </c>
      <c r="F48" s="54">
        <v>50718</v>
      </c>
      <c r="G48" s="114">
        <f t="shared" si="1"/>
        <v>94190</v>
      </c>
    </row>
    <row r="49" spans="1:7">
      <c r="A49" s="42">
        <v>45</v>
      </c>
      <c r="B49" s="43" t="s">
        <v>67</v>
      </c>
      <c r="C49" s="44">
        <v>79915</v>
      </c>
      <c r="D49" s="44">
        <f>VLOOKUP(B49,'107學年度第2學期經費核定表'!$B$5:$Q$102,16,FALSE)</f>
        <v>0</v>
      </c>
      <c r="E49" s="44">
        <f t="shared" si="0"/>
        <v>79915</v>
      </c>
      <c r="F49" s="54">
        <v>27970</v>
      </c>
      <c r="G49" s="114">
        <f t="shared" si="1"/>
        <v>51945</v>
      </c>
    </row>
    <row r="50" spans="1:7">
      <c r="A50" s="42">
        <v>46</v>
      </c>
      <c r="B50" s="43" t="s">
        <v>68</v>
      </c>
      <c r="C50" s="44">
        <v>53460</v>
      </c>
      <c r="D50" s="44">
        <f>VLOOKUP(B50,'107學年度第2學期經費核定表'!$B$5:$Q$102,16,FALSE)</f>
        <v>120</v>
      </c>
      <c r="E50" s="44">
        <f t="shared" si="0"/>
        <v>53580</v>
      </c>
      <c r="F50" s="54">
        <v>18711</v>
      </c>
      <c r="G50" s="114">
        <f t="shared" si="1"/>
        <v>34869</v>
      </c>
    </row>
    <row r="51" spans="1:7">
      <c r="A51" s="42">
        <v>47</v>
      </c>
      <c r="B51" s="43" t="s">
        <v>69</v>
      </c>
      <c r="C51" s="44">
        <v>64350</v>
      </c>
      <c r="D51" s="44">
        <f>VLOOKUP(B51,'107學年度第2學期經費核定表'!$B$5:$Q$102,16,FALSE)</f>
        <v>0</v>
      </c>
      <c r="E51" s="44">
        <f t="shared" si="0"/>
        <v>64350</v>
      </c>
      <c r="F51" s="54">
        <v>22523</v>
      </c>
      <c r="G51" s="114">
        <f t="shared" si="1"/>
        <v>41827</v>
      </c>
    </row>
    <row r="52" spans="1:7">
      <c r="A52" s="42">
        <v>48</v>
      </c>
      <c r="B52" s="43" t="s">
        <v>70</v>
      </c>
      <c r="C52" s="44">
        <v>29700</v>
      </c>
      <c r="D52" s="44">
        <f>VLOOKUP(B52,'107學年度第2學期經費核定表'!$B$5:$Q$102,16,FALSE)</f>
        <v>300</v>
      </c>
      <c r="E52" s="44">
        <f t="shared" si="0"/>
        <v>30000</v>
      </c>
      <c r="F52" s="54">
        <v>10395</v>
      </c>
      <c r="G52" s="114">
        <f t="shared" si="1"/>
        <v>19605</v>
      </c>
    </row>
    <row r="53" spans="1:7">
      <c r="A53" s="42">
        <v>49</v>
      </c>
      <c r="B53" s="43" t="s">
        <v>71</v>
      </c>
      <c r="C53" s="44">
        <v>71280</v>
      </c>
      <c r="D53" s="44">
        <f>VLOOKUP(B53,'107學年度第2學期經費核定表'!$B$5:$Q$102,16,FALSE)</f>
        <v>0</v>
      </c>
      <c r="E53" s="44">
        <f t="shared" si="0"/>
        <v>71280</v>
      </c>
      <c r="F53" s="54">
        <v>24948</v>
      </c>
      <c r="G53" s="114">
        <f t="shared" si="1"/>
        <v>46332</v>
      </c>
    </row>
    <row r="54" spans="1:7">
      <c r="A54" s="42">
        <v>50</v>
      </c>
      <c r="B54" s="43" t="s">
        <v>72</v>
      </c>
      <c r="C54" s="44">
        <v>181365</v>
      </c>
      <c r="D54" s="44">
        <f>VLOOKUP(B54,'107學年度第2學期經費核定表'!$B$5:$Q$102,16,FALSE)</f>
        <v>0</v>
      </c>
      <c r="E54" s="44">
        <f t="shared" si="0"/>
        <v>181365</v>
      </c>
      <c r="F54" s="54">
        <v>63478</v>
      </c>
      <c r="G54" s="114">
        <f t="shared" si="1"/>
        <v>117887</v>
      </c>
    </row>
    <row r="55" spans="1:7">
      <c r="A55" s="42">
        <v>51</v>
      </c>
      <c r="B55" s="43" t="s">
        <v>73</v>
      </c>
      <c r="C55" s="44">
        <v>47850</v>
      </c>
      <c r="D55" s="44">
        <f>VLOOKUP(B55,'107學年度第2學期經費核定表'!$B$5:$Q$102,16,FALSE)</f>
        <v>105</v>
      </c>
      <c r="E55" s="44">
        <f t="shared" si="0"/>
        <v>47955</v>
      </c>
      <c r="F55" s="54">
        <v>16748</v>
      </c>
      <c r="G55" s="114">
        <f t="shared" si="1"/>
        <v>31207</v>
      </c>
    </row>
    <row r="56" spans="1:7">
      <c r="A56" s="42">
        <v>52</v>
      </c>
      <c r="B56" s="43" t="s">
        <v>74</v>
      </c>
      <c r="C56" s="44">
        <v>33890</v>
      </c>
      <c r="D56" s="44">
        <f>VLOOKUP(B56,'107學年度第2學期經費核定表'!$B$5:$Q$102,16,FALSE)</f>
        <v>0</v>
      </c>
      <c r="E56" s="44">
        <f t="shared" si="0"/>
        <v>33890</v>
      </c>
      <c r="F56" s="54">
        <v>11862</v>
      </c>
      <c r="G56" s="114">
        <f t="shared" si="1"/>
        <v>22028</v>
      </c>
    </row>
    <row r="57" spans="1:7">
      <c r="A57" s="42">
        <v>53</v>
      </c>
      <c r="B57" s="43" t="s">
        <v>75</v>
      </c>
      <c r="C57" s="44">
        <v>54742</v>
      </c>
      <c r="D57" s="44">
        <f>VLOOKUP(B57,'107學年度第2學期經費核定表'!$B$5:$Q$102,16,FALSE)</f>
        <v>0</v>
      </c>
      <c r="E57" s="44">
        <f t="shared" si="0"/>
        <v>54742</v>
      </c>
      <c r="F57" s="54">
        <v>19160</v>
      </c>
      <c r="G57" s="114">
        <f t="shared" si="1"/>
        <v>35582</v>
      </c>
    </row>
    <row r="58" spans="1:7">
      <c r="A58" s="42">
        <v>54</v>
      </c>
      <c r="B58" s="43" t="s">
        <v>76</v>
      </c>
      <c r="C58" s="44">
        <v>58880</v>
      </c>
      <c r="D58" s="44">
        <f>VLOOKUP(B58,'107學年度第2學期經費核定表'!$B$5:$Q$102,16,FALSE)</f>
        <v>1280</v>
      </c>
      <c r="E58" s="44">
        <f t="shared" si="0"/>
        <v>60160</v>
      </c>
      <c r="F58" s="54">
        <v>20608</v>
      </c>
      <c r="G58" s="114">
        <f t="shared" si="1"/>
        <v>39552</v>
      </c>
    </row>
    <row r="59" spans="1:7">
      <c r="A59" s="42">
        <v>55</v>
      </c>
      <c r="B59" s="43" t="s">
        <v>77</v>
      </c>
      <c r="C59" s="44">
        <v>238758</v>
      </c>
      <c r="D59" s="44">
        <f>VLOOKUP(B59,'107學年度第2學期經費核定表'!$B$5:$Q$102,16,FALSE)</f>
        <v>2100</v>
      </c>
      <c r="E59" s="44">
        <f t="shared" si="0"/>
        <v>240858</v>
      </c>
      <c r="F59" s="54">
        <v>83565</v>
      </c>
      <c r="G59" s="114">
        <f t="shared" si="1"/>
        <v>157293</v>
      </c>
    </row>
    <row r="60" spans="1:7">
      <c r="A60" s="42">
        <v>56</v>
      </c>
      <c r="B60" s="43" t="s">
        <v>78</v>
      </c>
      <c r="C60" s="44">
        <v>112200</v>
      </c>
      <c r="D60" s="44">
        <f>VLOOKUP(B60,'107學年度第2學期經費核定表'!$B$5:$Q$102,16,FALSE)</f>
        <v>540</v>
      </c>
      <c r="E60" s="44">
        <f t="shared" si="0"/>
        <v>112740</v>
      </c>
      <c r="F60" s="54">
        <v>39270</v>
      </c>
      <c r="G60" s="114">
        <f t="shared" si="1"/>
        <v>73470</v>
      </c>
    </row>
    <row r="61" spans="1:7">
      <c r="A61" s="42">
        <v>57</v>
      </c>
      <c r="B61" s="43" t="s">
        <v>79</v>
      </c>
      <c r="C61" s="44">
        <v>71280</v>
      </c>
      <c r="D61" s="44">
        <f>VLOOKUP(B61,'107學年度第2學期經費核定表'!$B$5:$Q$102,16,FALSE)</f>
        <v>1080</v>
      </c>
      <c r="E61" s="44">
        <f t="shared" si="0"/>
        <v>72360</v>
      </c>
      <c r="F61" s="54">
        <v>24948</v>
      </c>
      <c r="G61" s="114">
        <f t="shared" si="1"/>
        <v>47412</v>
      </c>
    </row>
    <row r="62" spans="1:7">
      <c r="A62" s="42">
        <v>58</v>
      </c>
      <c r="B62" s="43" t="s">
        <v>80</v>
      </c>
      <c r="C62" s="44">
        <v>68190</v>
      </c>
      <c r="D62" s="44">
        <f>VLOOKUP(B62,'107學年度第2學期經費核定表'!$B$5:$Q$102,16,FALSE)</f>
        <v>0</v>
      </c>
      <c r="E62" s="44">
        <f t="shared" si="0"/>
        <v>68190</v>
      </c>
      <c r="F62" s="54">
        <v>23867</v>
      </c>
      <c r="G62" s="114">
        <f t="shared" si="1"/>
        <v>44323</v>
      </c>
    </row>
    <row r="63" spans="1:7">
      <c r="A63" s="42">
        <v>59</v>
      </c>
      <c r="B63" s="43" t="s">
        <v>81</v>
      </c>
      <c r="C63" s="44">
        <v>44550</v>
      </c>
      <c r="D63" s="44">
        <f>VLOOKUP(B63,'107學年度第2學期經費核定表'!$B$5:$Q$102,16,FALSE)</f>
        <v>0</v>
      </c>
      <c r="E63" s="44">
        <f t="shared" si="0"/>
        <v>44550</v>
      </c>
      <c r="F63" s="54">
        <v>15593</v>
      </c>
      <c r="G63" s="114">
        <f t="shared" si="1"/>
        <v>28957</v>
      </c>
    </row>
    <row r="64" spans="1:7">
      <c r="A64" s="42">
        <v>60</v>
      </c>
      <c r="B64" s="43" t="s">
        <v>82</v>
      </c>
      <c r="C64" s="44">
        <v>81120</v>
      </c>
      <c r="D64" s="44">
        <f>VLOOKUP(B64,'107學年度第2學期經費核定表'!$B$5:$Q$102,16,FALSE)</f>
        <v>0</v>
      </c>
      <c r="E64" s="44">
        <f t="shared" si="0"/>
        <v>81120</v>
      </c>
      <c r="F64" s="54">
        <v>28392</v>
      </c>
      <c r="G64" s="114">
        <f t="shared" si="1"/>
        <v>52728</v>
      </c>
    </row>
    <row r="65" spans="1:7">
      <c r="A65" s="42">
        <v>61</v>
      </c>
      <c r="B65" s="43" t="s">
        <v>83</v>
      </c>
      <c r="C65" s="44">
        <v>75564</v>
      </c>
      <c r="D65" s="44">
        <f>VLOOKUP(B65,'107學年度第2學期經費核定表'!$B$5:$Q$102,16,FALSE)</f>
        <v>444</v>
      </c>
      <c r="E65" s="44">
        <f t="shared" si="0"/>
        <v>76008</v>
      </c>
      <c r="F65" s="54">
        <v>26445</v>
      </c>
      <c r="G65" s="114">
        <f t="shared" si="1"/>
        <v>49563</v>
      </c>
    </row>
    <row r="66" spans="1:7">
      <c r="A66" s="42">
        <v>62</v>
      </c>
      <c r="B66" s="43" t="s">
        <v>84</v>
      </c>
      <c r="C66" s="44">
        <v>53460</v>
      </c>
      <c r="D66" s="44">
        <f>VLOOKUP(B66,'107學年度第2學期經費核定表'!$B$5:$Q$102,16,FALSE)</f>
        <v>360</v>
      </c>
      <c r="E66" s="44">
        <f t="shared" si="0"/>
        <v>53820</v>
      </c>
      <c r="F66" s="54">
        <v>16038</v>
      </c>
      <c r="G66" s="114">
        <f t="shared" si="1"/>
        <v>37782</v>
      </c>
    </row>
    <row r="67" spans="1:7">
      <c r="A67" s="42">
        <v>63</v>
      </c>
      <c r="B67" s="43" t="s">
        <v>85</v>
      </c>
      <c r="C67" s="44">
        <v>35640</v>
      </c>
      <c r="D67" s="44">
        <f>VLOOKUP(B67,'107學年度第2學期經費核定表'!$B$5:$Q$102,16,FALSE)</f>
        <v>120</v>
      </c>
      <c r="E67" s="44">
        <f t="shared" si="0"/>
        <v>35760</v>
      </c>
      <c r="F67" s="54">
        <v>10692</v>
      </c>
      <c r="G67" s="114">
        <f t="shared" si="1"/>
        <v>25068</v>
      </c>
    </row>
    <row r="68" spans="1:7">
      <c r="A68" s="42">
        <v>64</v>
      </c>
      <c r="B68" s="43" t="s">
        <v>86</v>
      </c>
      <c r="C68" s="44">
        <v>93690</v>
      </c>
      <c r="D68" s="44">
        <f>VLOOKUP(B68,'107學年度第2學期經費核定表'!$B$5:$Q$102,16,FALSE)</f>
        <v>0</v>
      </c>
      <c r="E68" s="44">
        <f t="shared" si="0"/>
        <v>93690</v>
      </c>
      <c r="F68" s="54">
        <v>28107</v>
      </c>
      <c r="G68" s="114">
        <f t="shared" si="1"/>
        <v>65583</v>
      </c>
    </row>
    <row r="69" spans="1:7">
      <c r="A69" s="42">
        <v>65</v>
      </c>
      <c r="B69" s="43" t="s">
        <v>87</v>
      </c>
      <c r="C69" s="44">
        <v>67650</v>
      </c>
      <c r="D69" s="44">
        <f>VLOOKUP(B69,'107學年度第2學期經費核定表'!$B$5:$Q$102,16,FALSE)</f>
        <v>240</v>
      </c>
      <c r="E69" s="44">
        <f t="shared" si="0"/>
        <v>67890</v>
      </c>
      <c r="F69" s="54">
        <v>20295</v>
      </c>
      <c r="G69" s="114">
        <f t="shared" si="1"/>
        <v>47595</v>
      </c>
    </row>
    <row r="70" spans="1:7">
      <c r="A70" s="42">
        <v>66</v>
      </c>
      <c r="B70" s="43" t="s">
        <v>88</v>
      </c>
      <c r="C70" s="44">
        <v>79200</v>
      </c>
      <c r="D70" s="44">
        <f>VLOOKUP(B70,'107學年度第2學期經費核定表'!$B$5:$Q$102,16,FALSE)</f>
        <v>480</v>
      </c>
      <c r="E70" s="44">
        <f t="shared" ref="E70:E102" si="2">C70+D70</f>
        <v>79680</v>
      </c>
      <c r="F70" s="54">
        <v>23760</v>
      </c>
      <c r="G70" s="114">
        <f t="shared" ref="G70:G102" si="3">E70-F70</f>
        <v>55920</v>
      </c>
    </row>
    <row r="71" spans="1:7" s="49" customFormat="1">
      <c r="A71" s="46">
        <v>67</v>
      </c>
      <c r="B71" s="47" t="s">
        <v>89</v>
      </c>
      <c r="C71" s="48">
        <v>117810</v>
      </c>
      <c r="D71" s="44">
        <f>VLOOKUP(B71,'107學年度第2學期經費核定表'!$B$5:$Q$102,16,FALSE)</f>
        <v>360</v>
      </c>
      <c r="E71" s="44">
        <f t="shared" si="2"/>
        <v>118170</v>
      </c>
      <c r="F71" s="54">
        <v>35343</v>
      </c>
      <c r="G71" s="114">
        <f t="shared" si="3"/>
        <v>82827</v>
      </c>
    </row>
    <row r="72" spans="1:7">
      <c r="A72" s="42">
        <v>68</v>
      </c>
      <c r="B72" s="43" t="s">
        <v>90</v>
      </c>
      <c r="C72" s="44">
        <v>82350</v>
      </c>
      <c r="D72" s="44">
        <f>VLOOKUP(B72,'107學年度第2學期經費核定表'!$B$5:$Q$102,16,FALSE)</f>
        <v>0</v>
      </c>
      <c r="E72" s="44">
        <f t="shared" si="2"/>
        <v>82350</v>
      </c>
      <c r="F72" s="54">
        <v>24705</v>
      </c>
      <c r="G72" s="114">
        <f t="shared" si="3"/>
        <v>57645</v>
      </c>
    </row>
    <row r="73" spans="1:7">
      <c r="A73" s="42">
        <v>69</v>
      </c>
      <c r="B73" s="43" t="s">
        <v>91</v>
      </c>
      <c r="C73" s="44">
        <v>169260</v>
      </c>
      <c r="D73" s="44">
        <f>VLOOKUP(B73,'107學年度第2學期經費核定表'!$B$5:$Q$102,16,FALSE)</f>
        <v>0</v>
      </c>
      <c r="E73" s="44">
        <f t="shared" si="2"/>
        <v>169260</v>
      </c>
      <c r="F73" s="54">
        <v>50778</v>
      </c>
      <c r="G73" s="114">
        <f t="shared" si="3"/>
        <v>118482</v>
      </c>
    </row>
    <row r="74" spans="1:7">
      <c r="A74" s="42">
        <v>70</v>
      </c>
      <c r="B74" s="43" t="s">
        <v>92</v>
      </c>
      <c r="C74" s="44">
        <v>96030</v>
      </c>
      <c r="D74" s="44">
        <f>VLOOKUP(B74,'107學年度第2學期經費核定表'!$B$5:$Q$102,16,FALSE)</f>
        <v>1680</v>
      </c>
      <c r="E74" s="44">
        <f t="shared" si="2"/>
        <v>97710</v>
      </c>
      <c r="F74" s="54">
        <v>28809</v>
      </c>
      <c r="G74" s="114">
        <f t="shared" si="3"/>
        <v>68901</v>
      </c>
    </row>
    <row r="75" spans="1:7">
      <c r="A75" s="42">
        <v>71</v>
      </c>
      <c r="B75" s="43" t="s">
        <v>93</v>
      </c>
      <c r="C75" s="44">
        <v>142560</v>
      </c>
      <c r="D75" s="44">
        <f>VLOOKUP(B75,'107學年度第2學期經費核定表'!$B$5:$Q$102,16,FALSE)</f>
        <v>960</v>
      </c>
      <c r="E75" s="44">
        <f t="shared" si="2"/>
        <v>143520</v>
      </c>
      <c r="F75" s="54">
        <v>42768</v>
      </c>
      <c r="G75" s="114">
        <f t="shared" si="3"/>
        <v>100752</v>
      </c>
    </row>
    <row r="76" spans="1:7">
      <c r="A76" s="42">
        <v>72</v>
      </c>
      <c r="B76" s="43" t="s">
        <v>94</v>
      </c>
      <c r="C76" s="44">
        <v>237600</v>
      </c>
      <c r="D76" s="44">
        <f>VLOOKUP(B76,'107學年度第2學期經費核定表'!$B$5:$Q$102,16,FALSE)</f>
        <v>2100</v>
      </c>
      <c r="E76" s="44">
        <f t="shared" si="2"/>
        <v>239700</v>
      </c>
      <c r="F76" s="54">
        <v>71280</v>
      </c>
      <c r="G76" s="114">
        <f t="shared" si="3"/>
        <v>168420</v>
      </c>
    </row>
    <row r="77" spans="1:7">
      <c r="A77" s="42">
        <v>73</v>
      </c>
      <c r="B77" s="43" t="s">
        <v>95</v>
      </c>
      <c r="C77" s="44">
        <v>368280</v>
      </c>
      <c r="D77" s="44">
        <f>VLOOKUP(B77,'107學年度第2學期經費核定表'!$B$5:$Q$102,16,FALSE)</f>
        <v>0</v>
      </c>
      <c r="E77" s="44">
        <f t="shared" si="2"/>
        <v>368280</v>
      </c>
      <c r="F77" s="54">
        <v>110484</v>
      </c>
      <c r="G77" s="114">
        <f t="shared" si="3"/>
        <v>257796</v>
      </c>
    </row>
    <row r="78" spans="1:7">
      <c r="A78" s="42">
        <v>74</v>
      </c>
      <c r="B78" s="43" t="s">
        <v>96</v>
      </c>
      <c r="C78" s="44">
        <v>63360</v>
      </c>
      <c r="D78" s="44">
        <f>VLOOKUP(B78,'107學年度第2學期經費核定表'!$B$5:$Q$102,16,FALSE)</f>
        <v>0</v>
      </c>
      <c r="E78" s="44">
        <f t="shared" si="2"/>
        <v>63360</v>
      </c>
      <c r="F78" s="54">
        <v>19008</v>
      </c>
      <c r="G78" s="114">
        <f t="shared" si="3"/>
        <v>44352</v>
      </c>
    </row>
    <row r="79" spans="1:7">
      <c r="A79" s="42">
        <v>75</v>
      </c>
      <c r="B79" s="43" t="s">
        <v>97</v>
      </c>
      <c r="C79" s="44">
        <v>83160</v>
      </c>
      <c r="D79" s="44">
        <f>VLOOKUP(B79,'107學年度第2學期經費核定表'!$B$5:$Q$102,16,FALSE)</f>
        <v>0</v>
      </c>
      <c r="E79" s="44">
        <f t="shared" si="2"/>
        <v>83160</v>
      </c>
      <c r="F79" s="54">
        <v>24948</v>
      </c>
      <c r="G79" s="114">
        <f t="shared" si="3"/>
        <v>58212</v>
      </c>
    </row>
    <row r="80" spans="1:7">
      <c r="A80" s="42">
        <v>76</v>
      </c>
      <c r="B80" s="43" t="s">
        <v>98</v>
      </c>
      <c r="C80" s="44">
        <v>39600</v>
      </c>
      <c r="D80" s="44">
        <f>VLOOKUP(B80,'107學年度第2學期經費核定表'!$B$5:$Q$102,16,FALSE)</f>
        <v>420</v>
      </c>
      <c r="E80" s="44">
        <f t="shared" si="2"/>
        <v>40020</v>
      </c>
      <c r="F80" s="54">
        <v>11880</v>
      </c>
      <c r="G80" s="114">
        <f t="shared" si="3"/>
        <v>28140</v>
      </c>
    </row>
    <row r="81" spans="1:7">
      <c r="A81" s="42">
        <v>77</v>
      </c>
      <c r="B81" s="43" t="s">
        <v>99</v>
      </c>
      <c r="C81" s="44">
        <v>130340</v>
      </c>
      <c r="D81" s="44">
        <f>VLOOKUP(B81,'107學年度第2學期經費核定表'!$B$5:$Q$102,16,FALSE)</f>
        <v>0</v>
      </c>
      <c r="E81" s="44">
        <f t="shared" si="2"/>
        <v>130340</v>
      </c>
      <c r="F81" s="54">
        <v>39102</v>
      </c>
      <c r="G81" s="114">
        <f t="shared" si="3"/>
        <v>91238</v>
      </c>
    </row>
    <row r="82" spans="1:7">
      <c r="A82" s="42">
        <v>78</v>
      </c>
      <c r="B82" s="43" t="s">
        <v>100</v>
      </c>
      <c r="C82" s="44">
        <v>133590</v>
      </c>
      <c r="D82" s="44">
        <f>VLOOKUP(B82,'107學年度第2學期經費核定表'!$B$5:$Q$102,16,FALSE)</f>
        <v>0</v>
      </c>
      <c r="E82" s="44">
        <f t="shared" si="2"/>
        <v>133590</v>
      </c>
      <c r="F82" s="54">
        <v>40077</v>
      </c>
      <c r="G82" s="114">
        <f t="shared" si="3"/>
        <v>93513</v>
      </c>
    </row>
    <row r="83" spans="1:7">
      <c r="A83" s="42">
        <v>79</v>
      </c>
      <c r="B83" s="43" t="s">
        <v>101</v>
      </c>
      <c r="C83" s="44">
        <v>132660</v>
      </c>
      <c r="D83" s="44">
        <f>VLOOKUP(B83,'107學年度第2學期經費核定表'!$B$5:$Q$102,16,FALSE)</f>
        <v>1620</v>
      </c>
      <c r="E83" s="44">
        <f t="shared" si="2"/>
        <v>134280</v>
      </c>
      <c r="F83" s="54">
        <v>39798</v>
      </c>
      <c r="G83" s="114">
        <f t="shared" si="3"/>
        <v>94482</v>
      </c>
    </row>
    <row r="84" spans="1:7">
      <c r="A84" s="42">
        <v>80</v>
      </c>
      <c r="B84" s="43" t="s">
        <v>102</v>
      </c>
      <c r="C84" s="44">
        <v>28660</v>
      </c>
      <c r="D84" s="44">
        <f>VLOOKUP(B84,'107學年度第2學期經費核定表'!$B$5:$Q$102,16,FALSE)</f>
        <v>0</v>
      </c>
      <c r="E84" s="44">
        <f t="shared" si="2"/>
        <v>28660</v>
      </c>
      <c r="F84" s="54">
        <v>8598</v>
      </c>
      <c r="G84" s="114">
        <f t="shared" si="3"/>
        <v>20062</v>
      </c>
    </row>
    <row r="85" spans="1:7">
      <c r="A85" s="42">
        <v>81</v>
      </c>
      <c r="B85" s="43" t="s">
        <v>103</v>
      </c>
      <c r="C85" s="44">
        <v>79200</v>
      </c>
      <c r="D85" s="44">
        <f>VLOOKUP(B85,'107學年度第2學期經費核定表'!$B$5:$Q$102,16,FALSE)</f>
        <v>0</v>
      </c>
      <c r="E85" s="44">
        <f t="shared" si="2"/>
        <v>79200</v>
      </c>
      <c r="F85" s="54">
        <v>23760</v>
      </c>
      <c r="G85" s="114">
        <f t="shared" si="3"/>
        <v>55440</v>
      </c>
    </row>
    <row r="86" spans="1:7">
      <c r="A86" s="42">
        <v>82</v>
      </c>
      <c r="B86" s="43" t="s">
        <v>104</v>
      </c>
      <c r="C86" s="44">
        <v>76679</v>
      </c>
      <c r="D86" s="44">
        <f>VLOOKUP(B86,'107學年度第2學期經費核定表'!$B$5:$Q$102,16,FALSE)</f>
        <v>630</v>
      </c>
      <c r="E86" s="44">
        <f t="shared" si="2"/>
        <v>77309</v>
      </c>
      <c r="F86" s="54">
        <v>23004</v>
      </c>
      <c r="G86" s="114">
        <f t="shared" si="3"/>
        <v>54305</v>
      </c>
    </row>
    <row r="87" spans="1:7">
      <c r="A87" s="42">
        <v>83</v>
      </c>
      <c r="B87" s="43" t="s">
        <v>105</v>
      </c>
      <c r="C87" s="44">
        <v>39270</v>
      </c>
      <c r="D87" s="44">
        <f>VLOOKUP(B87,'107學年度第2學期經費核定表'!$B$5:$Q$102,16,FALSE)</f>
        <v>480</v>
      </c>
      <c r="E87" s="44">
        <f t="shared" si="2"/>
        <v>39750</v>
      </c>
      <c r="F87" s="54">
        <v>11781</v>
      </c>
      <c r="G87" s="114">
        <f t="shared" si="3"/>
        <v>27969</v>
      </c>
    </row>
    <row r="88" spans="1:7">
      <c r="A88" s="42">
        <v>84</v>
      </c>
      <c r="B88" s="43" t="s">
        <v>106</v>
      </c>
      <c r="C88" s="44">
        <v>39640</v>
      </c>
      <c r="D88" s="44">
        <f>VLOOKUP(B88,'107學年度第2學期經費核定表'!$B$5:$Q$102,16,FALSE)</f>
        <v>0</v>
      </c>
      <c r="E88" s="44">
        <f t="shared" si="2"/>
        <v>39640</v>
      </c>
      <c r="F88" s="54">
        <v>11892</v>
      </c>
      <c r="G88" s="114">
        <f t="shared" si="3"/>
        <v>27748</v>
      </c>
    </row>
    <row r="89" spans="1:7">
      <c r="A89" s="42">
        <v>85</v>
      </c>
      <c r="B89" s="43" t="s">
        <v>107</v>
      </c>
      <c r="C89" s="44">
        <v>23760</v>
      </c>
      <c r="D89" s="44">
        <f>VLOOKUP(B89,'107學年度第2學期經費核定表'!$B$5:$Q$102,16,FALSE)</f>
        <v>240</v>
      </c>
      <c r="E89" s="44">
        <f t="shared" si="2"/>
        <v>24000</v>
      </c>
      <c r="F89" s="54">
        <v>7128</v>
      </c>
      <c r="G89" s="114">
        <f t="shared" si="3"/>
        <v>16872</v>
      </c>
    </row>
    <row r="90" spans="1:7">
      <c r="A90" s="42">
        <v>86</v>
      </c>
      <c r="B90" s="43" t="s">
        <v>108</v>
      </c>
      <c r="C90" s="44">
        <v>43680</v>
      </c>
      <c r="D90" s="44">
        <f>VLOOKUP(B90,'107學年度第2學期經費核定表'!$B$5:$Q$102,16,FALSE)</f>
        <v>0</v>
      </c>
      <c r="E90" s="44">
        <f t="shared" si="2"/>
        <v>43680</v>
      </c>
      <c r="F90" s="54">
        <v>13104</v>
      </c>
      <c r="G90" s="114">
        <f t="shared" si="3"/>
        <v>30576</v>
      </c>
    </row>
    <row r="91" spans="1:7">
      <c r="A91" s="42">
        <v>87</v>
      </c>
      <c r="B91" s="43" t="s">
        <v>109</v>
      </c>
      <c r="C91" s="44">
        <v>40590</v>
      </c>
      <c r="D91" s="44">
        <f>VLOOKUP(B91,'107學年度第2學期經費核定表'!$B$5:$Q$102,16,FALSE)</f>
        <v>0</v>
      </c>
      <c r="E91" s="44">
        <f t="shared" si="2"/>
        <v>40590</v>
      </c>
      <c r="F91" s="54">
        <v>12177</v>
      </c>
      <c r="G91" s="114">
        <f t="shared" si="3"/>
        <v>28413</v>
      </c>
    </row>
    <row r="92" spans="1:7">
      <c r="A92" s="42">
        <v>88</v>
      </c>
      <c r="B92" s="43" t="s">
        <v>110</v>
      </c>
      <c r="C92" s="44">
        <v>39300</v>
      </c>
      <c r="D92" s="44">
        <f>VLOOKUP(B92,'107學年度第2學期經費核定表'!$B$5:$Q$102,16,FALSE)</f>
        <v>0</v>
      </c>
      <c r="E92" s="44">
        <f t="shared" si="2"/>
        <v>39300</v>
      </c>
      <c r="F92" s="54">
        <v>11790</v>
      </c>
      <c r="G92" s="114">
        <f t="shared" si="3"/>
        <v>27510</v>
      </c>
    </row>
    <row r="93" spans="1:7">
      <c r="A93" s="42">
        <v>89</v>
      </c>
      <c r="B93" s="43" t="s">
        <v>111</v>
      </c>
      <c r="C93" s="44">
        <v>50071</v>
      </c>
      <c r="D93" s="44">
        <f>VLOOKUP(B93,'107學年度第2學期經費核定表'!$B$5:$Q$102,16,FALSE)</f>
        <v>0</v>
      </c>
      <c r="E93" s="44">
        <f t="shared" si="2"/>
        <v>50071</v>
      </c>
      <c r="F93" s="54">
        <v>15021</v>
      </c>
      <c r="G93" s="114">
        <f t="shared" si="3"/>
        <v>35050</v>
      </c>
    </row>
    <row r="94" spans="1:7">
      <c r="A94" s="42">
        <v>90</v>
      </c>
      <c r="B94" s="43" t="s">
        <v>112</v>
      </c>
      <c r="C94" s="44">
        <v>77220</v>
      </c>
      <c r="D94" s="44">
        <f>VLOOKUP(B94,'107學年度第2學期經費核定表'!$B$5:$Q$102,16,FALSE)</f>
        <v>1260</v>
      </c>
      <c r="E94" s="44">
        <f t="shared" si="2"/>
        <v>78480</v>
      </c>
      <c r="F94" s="54">
        <v>23166</v>
      </c>
      <c r="G94" s="114">
        <f t="shared" si="3"/>
        <v>55314</v>
      </c>
    </row>
    <row r="95" spans="1:7">
      <c r="A95" s="42">
        <v>91</v>
      </c>
      <c r="B95" s="43" t="s">
        <v>113</v>
      </c>
      <c r="C95" s="44">
        <v>53280</v>
      </c>
      <c r="D95" s="44">
        <f>VLOOKUP(B95,'107學年度第2學期經費核定表'!$B$5:$Q$102,16,FALSE)</f>
        <v>0</v>
      </c>
      <c r="E95" s="44">
        <f t="shared" si="2"/>
        <v>53280</v>
      </c>
      <c r="F95" s="54">
        <v>15984</v>
      </c>
      <c r="G95" s="114">
        <f t="shared" si="3"/>
        <v>37296</v>
      </c>
    </row>
    <row r="96" spans="1:7">
      <c r="A96" s="42">
        <v>92</v>
      </c>
      <c r="B96" s="43" t="s">
        <v>114</v>
      </c>
      <c r="C96" s="44">
        <v>148078</v>
      </c>
      <c r="D96" s="44">
        <f>VLOOKUP(B96,'107學年度第2學期經費核定表'!$B$5:$Q$102,16,FALSE)</f>
        <v>0</v>
      </c>
      <c r="E96" s="44">
        <f t="shared" si="2"/>
        <v>148078</v>
      </c>
      <c r="F96" s="54">
        <v>44423</v>
      </c>
      <c r="G96" s="114">
        <f t="shared" si="3"/>
        <v>103655</v>
      </c>
    </row>
    <row r="97" spans="1:7">
      <c r="A97" s="42">
        <v>93</v>
      </c>
      <c r="B97" s="43" t="s">
        <v>115</v>
      </c>
      <c r="C97" s="44">
        <v>100980</v>
      </c>
      <c r="D97" s="44">
        <f>VLOOKUP(B97,'107學年度第2學期經費核定表'!$B$5:$Q$102,16,FALSE)</f>
        <v>780</v>
      </c>
      <c r="E97" s="44">
        <f t="shared" si="2"/>
        <v>101760</v>
      </c>
      <c r="F97" s="54">
        <v>30294</v>
      </c>
      <c r="G97" s="114">
        <f t="shared" si="3"/>
        <v>71466</v>
      </c>
    </row>
    <row r="98" spans="1:7">
      <c r="A98" s="42">
        <v>94</v>
      </c>
      <c r="B98" s="43" t="s">
        <v>116</v>
      </c>
      <c r="C98" s="44">
        <v>337796</v>
      </c>
      <c r="D98" s="44">
        <f>VLOOKUP(B98,'107學年度第2學期經費核定表'!$B$5:$Q$102,16,FALSE)</f>
        <v>4080</v>
      </c>
      <c r="E98" s="44">
        <f t="shared" si="2"/>
        <v>341876</v>
      </c>
      <c r="F98" s="54">
        <v>98884</v>
      </c>
      <c r="G98" s="114">
        <f t="shared" si="3"/>
        <v>242992</v>
      </c>
    </row>
    <row r="99" spans="1:7">
      <c r="A99" s="42">
        <v>95</v>
      </c>
      <c r="B99" s="43" t="s">
        <v>117</v>
      </c>
      <c r="C99" s="44">
        <v>118800</v>
      </c>
      <c r="D99" s="44">
        <f>VLOOKUP(B99,'107學年度第2學期經費核定表'!$B$5:$Q$102,16,FALSE)</f>
        <v>5000</v>
      </c>
      <c r="E99" s="44">
        <f t="shared" si="2"/>
        <v>123800</v>
      </c>
      <c r="F99" s="54">
        <v>35640</v>
      </c>
      <c r="G99" s="114">
        <f t="shared" si="3"/>
        <v>88160</v>
      </c>
    </row>
    <row r="100" spans="1:7">
      <c r="A100" s="42">
        <v>96</v>
      </c>
      <c r="B100" s="43" t="s">
        <v>126</v>
      </c>
      <c r="C100" s="44">
        <v>780000</v>
      </c>
      <c r="D100" s="44">
        <f>VLOOKUP(B100,'107學年度第2學期經費核定表'!$B$5:$Q$102,16,FALSE)</f>
        <v>6600</v>
      </c>
      <c r="E100" s="44">
        <f t="shared" si="2"/>
        <v>786600</v>
      </c>
      <c r="F100" s="54">
        <v>234000</v>
      </c>
      <c r="G100" s="114">
        <f t="shared" si="3"/>
        <v>552600</v>
      </c>
    </row>
    <row r="101" spans="1:7">
      <c r="A101" s="42">
        <v>97</v>
      </c>
      <c r="B101" s="43" t="s">
        <v>119</v>
      </c>
      <c r="C101" s="44">
        <v>427680</v>
      </c>
      <c r="D101" s="44">
        <f>VLOOKUP(B101,'107學年度第2學期經費核定表'!$B$5:$Q$102,16,FALSE)</f>
        <v>0</v>
      </c>
      <c r="E101" s="44">
        <f t="shared" si="2"/>
        <v>427680</v>
      </c>
      <c r="F101" s="54">
        <v>128304</v>
      </c>
      <c r="G101" s="114">
        <f t="shared" si="3"/>
        <v>299376</v>
      </c>
    </row>
    <row r="102" spans="1:7">
      <c r="A102" s="42">
        <v>98</v>
      </c>
      <c r="B102" s="43" t="s">
        <v>120</v>
      </c>
      <c r="C102" s="44">
        <v>538464</v>
      </c>
      <c r="D102" s="44">
        <f>VLOOKUP(B102,'107學年度第2學期經費核定表'!$B$5:$Q$102,16,FALSE)</f>
        <v>1260</v>
      </c>
      <c r="E102" s="44">
        <f t="shared" si="2"/>
        <v>539724</v>
      </c>
      <c r="F102" s="54">
        <v>161539</v>
      </c>
      <c r="G102" s="114">
        <f t="shared" si="3"/>
        <v>378185</v>
      </c>
    </row>
    <row r="103" spans="1:7">
      <c r="A103" s="92" t="s">
        <v>127</v>
      </c>
      <c r="B103" s="93"/>
      <c r="C103" s="44">
        <f>SUM(C5:C102)</f>
        <v>19872386</v>
      </c>
      <c r="D103" s="44">
        <f>SUM(D5:D102)</f>
        <v>103965</v>
      </c>
      <c r="E103" s="44">
        <f>SUM(E5:E102)</f>
        <v>19976351</v>
      </c>
      <c r="F103" s="52">
        <f>SUM(F5:F102)</f>
        <v>6587654</v>
      </c>
      <c r="G103" s="108">
        <f>SUM(G5:G102)</f>
        <v>13388697</v>
      </c>
    </row>
    <row r="104" spans="1:7">
      <c r="B104" s="28"/>
    </row>
    <row r="105" spans="1:7" ht="19.8" customHeight="1">
      <c r="A105" s="51"/>
      <c r="B105" s="51"/>
      <c r="C105" s="51"/>
      <c r="D105" s="51"/>
      <c r="E105" s="51"/>
      <c r="F105" s="107"/>
      <c r="G105" s="110"/>
    </row>
  </sheetData>
  <mergeCells count="9">
    <mergeCell ref="A103:B103"/>
    <mergeCell ref="D2:D4"/>
    <mergeCell ref="E2:E4"/>
    <mergeCell ref="A1:G1"/>
    <mergeCell ref="A2:A4"/>
    <mergeCell ref="B2:B4"/>
    <mergeCell ref="C2:C4"/>
    <mergeCell ref="F2:F4"/>
    <mergeCell ref="G2:G4"/>
  </mergeCells>
  <phoneticPr fontId="3" type="noConversion"/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107學年度第2學期經費核定表</vt:lpstr>
      <vt:lpstr>107學年度第2學期第2期經費核撥表</vt:lpstr>
      <vt:lpstr>工作表1</vt:lpstr>
      <vt:lpstr>'107學年度第2學期第2期經費核撥表'!Print_Area</vt:lpstr>
      <vt:lpstr>'107學年度第2學期經費核定表'!Print_Area</vt:lpstr>
      <vt:lpstr>'107學年度第2學期第2期經費核撥表'!Print_Titles</vt:lpstr>
      <vt:lpstr>'107學年度第2學期經費核定表'!Print_Titles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2019-06-04T09:22:42Z</cp:lastPrinted>
  <dcterms:created xsi:type="dcterms:W3CDTF">2019-06-03T05:56:15Z</dcterms:created>
  <dcterms:modified xsi:type="dcterms:W3CDTF">2019-06-10T08:37:09Z</dcterms:modified>
</cp:coreProperties>
</file>