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6554\Desktop\"/>
    </mc:Choice>
  </mc:AlternateContent>
  <xr:revisionPtr revIDLastSave="0" documentId="8_{1F0E1A70-8681-4E16-8F13-7A348D2D27A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統計表" sheetId="9" state="hidden" r:id="rId1"/>
    <sheet name="汰換年相反" sheetId="10" r:id="rId2"/>
    <sheet name="花東B表" sheetId="6" r:id="rId3"/>
    <sheet name="單價表" sheetId="8" r:id="rId4"/>
    <sheet name="工作表3" sheetId="5" state="hidden" r:id="rId5"/>
    <sheet name="抬頭" sheetId="2" state="hidden" r:id="rId6"/>
  </sheets>
  <definedNames>
    <definedName name="_xlnm._FilterDatabase" localSheetId="3" hidden="1">單價表!$A$3:$W$54</definedName>
    <definedName name="_xlnm.Print_Area" localSheetId="1">汰換年相反!$A$4:$T$40</definedName>
    <definedName name="_xlnm.Print_Area" localSheetId="0">統計表!$A$4:$V$29</definedName>
    <definedName name="版本">工作表3!$A$5:$A$12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9" l="1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C52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C46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C40" i="9"/>
  <c r="D65" i="10"/>
  <c r="E65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C65" i="10"/>
  <c r="I59" i="10"/>
  <c r="D59" i="10"/>
  <c r="E59" i="10"/>
  <c r="F59" i="10"/>
  <c r="G59" i="10"/>
  <c r="H59" i="10"/>
  <c r="J59" i="10"/>
  <c r="K59" i="10"/>
  <c r="L59" i="10"/>
  <c r="M59" i="10"/>
  <c r="N59" i="10"/>
  <c r="O59" i="10"/>
  <c r="P59" i="10"/>
  <c r="Q59" i="10"/>
  <c r="R59" i="10"/>
  <c r="S59" i="10"/>
  <c r="C59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C53" i="10"/>
  <c r="F32" i="10" l="1"/>
  <c r="F34" i="10" s="1"/>
  <c r="E32" i="10"/>
  <c r="E34" i="10" s="1"/>
  <c r="D32" i="10"/>
  <c r="D34" i="10" s="1"/>
  <c r="M18" i="10"/>
  <c r="L18" i="10"/>
  <c r="F28" i="10"/>
  <c r="F30" i="10" s="1"/>
  <c r="E28" i="10"/>
  <c r="E30" i="10" s="1"/>
  <c r="D28" i="10"/>
  <c r="D30" i="10" s="1"/>
  <c r="M16" i="10"/>
  <c r="L16" i="10"/>
  <c r="F24" i="10"/>
  <c r="F26" i="10" s="1"/>
  <c r="E24" i="10"/>
  <c r="E26" i="10" s="1"/>
  <c r="D24" i="10"/>
  <c r="D26" i="10" s="1"/>
  <c r="M14" i="10"/>
  <c r="L14" i="10"/>
  <c r="O19" i="9"/>
  <c r="N19" i="9"/>
  <c r="M19" i="9"/>
  <c r="L19" i="9"/>
  <c r="K19" i="9"/>
  <c r="O17" i="9"/>
  <c r="N17" i="9"/>
  <c r="M17" i="9"/>
  <c r="L17" i="9"/>
  <c r="K17" i="9"/>
  <c r="O15" i="9"/>
  <c r="N15" i="9"/>
  <c r="M15" i="9"/>
  <c r="L15" i="9"/>
  <c r="K15" i="9"/>
  <c r="E93" i="10" l="1"/>
  <c r="F93" i="10"/>
  <c r="G93" i="10"/>
  <c r="H93" i="10"/>
  <c r="I93" i="10"/>
  <c r="J93" i="10"/>
  <c r="D93" i="10"/>
  <c r="E89" i="10"/>
  <c r="F89" i="10"/>
  <c r="G89" i="10"/>
  <c r="H89" i="10"/>
  <c r="I89" i="10"/>
  <c r="J89" i="10"/>
  <c r="D89" i="10"/>
  <c r="E85" i="10"/>
  <c r="F85" i="10"/>
  <c r="G85" i="10"/>
  <c r="H85" i="10"/>
  <c r="I85" i="10"/>
  <c r="J85" i="10"/>
  <c r="D85" i="10"/>
  <c r="E91" i="10"/>
  <c r="E92" i="10" s="1"/>
  <c r="F91" i="10"/>
  <c r="F92" i="10" s="1"/>
  <c r="G91" i="10"/>
  <c r="G92" i="10" s="1"/>
  <c r="G94" i="10" s="1"/>
  <c r="H91" i="10"/>
  <c r="H92" i="10" s="1"/>
  <c r="H94" i="10" s="1"/>
  <c r="E87" i="10"/>
  <c r="E88" i="10" s="1"/>
  <c r="E90" i="10" s="1"/>
  <c r="F87" i="10"/>
  <c r="F88" i="10" s="1"/>
  <c r="F90" i="10" s="1"/>
  <c r="G87" i="10"/>
  <c r="G88" i="10" s="1"/>
  <c r="G90" i="10" s="1"/>
  <c r="H87" i="10"/>
  <c r="H88" i="10" s="1"/>
  <c r="H90" i="10" s="1"/>
  <c r="E83" i="10"/>
  <c r="E84" i="10" s="1"/>
  <c r="E86" i="10" s="1"/>
  <c r="F83" i="10"/>
  <c r="F84" i="10" s="1"/>
  <c r="F86" i="10" s="1"/>
  <c r="G83" i="10"/>
  <c r="G84" i="10" s="1"/>
  <c r="G86" i="10" s="1"/>
  <c r="H83" i="10"/>
  <c r="H84" i="10" s="1"/>
  <c r="H86" i="10" s="1"/>
  <c r="D91" i="10"/>
  <c r="D92" i="10" s="1"/>
  <c r="D87" i="10"/>
  <c r="D88" i="10" s="1"/>
  <c r="D83" i="10"/>
  <c r="D84" i="10" s="1"/>
  <c r="D86" i="10" s="1"/>
  <c r="E77" i="10"/>
  <c r="E78" i="10" s="1"/>
  <c r="F77" i="10"/>
  <c r="F78" i="10" s="1"/>
  <c r="G77" i="10"/>
  <c r="G78" i="10" s="1"/>
  <c r="H77" i="10"/>
  <c r="H78" i="10" s="1"/>
  <c r="I77" i="10"/>
  <c r="I78" i="10" s="1"/>
  <c r="J77" i="10"/>
  <c r="J78" i="10" s="1"/>
  <c r="K77" i="10"/>
  <c r="K78" i="10" s="1"/>
  <c r="L77" i="10"/>
  <c r="L78" i="10" s="1"/>
  <c r="M77" i="10"/>
  <c r="M78" i="10" s="1"/>
  <c r="D77" i="10"/>
  <c r="E75" i="10"/>
  <c r="E76" i="10" s="1"/>
  <c r="F75" i="10"/>
  <c r="F76" i="10" s="1"/>
  <c r="G75" i="10"/>
  <c r="G76" i="10" s="1"/>
  <c r="H75" i="10"/>
  <c r="H76" i="10" s="1"/>
  <c r="I75" i="10"/>
  <c r="I76" i="10" s="1"/>
  <c r="J75" i="10"/>
  <c r="J76" i="10" s="1"/>
  <c r="K75" i="10"/>
  <c r="K76" i="10" s="1"/>
  <c r="L75" i="10"/>
  <c r="L76" i="10" s="1"/>
  <c r="M75" i="10"/>
  <c r="M76" i="10" s="1"/>
  <c r="D75" i="10"/>
  <c r="E73" i="10"/>
  <c r="E74" i="10" s="1"/>
  <c r="F73" i="10"/>
  <c r="F74" i="10" s="1"/>
  <c r="G73" i="10"/>
  <c r="G74" i="10" s="1"/>
  <c r="H73" i="10"/>
  <c r="H74" i="10" s="1"/>
  <c r="I73" i="10"/>
  <c r="I74" i="10" s="1"/>
  <c r="J73" i="10"/>
  <c r="J74" i="10" s="1"/>
  <c r="K73" i="10"/>
  <c r="K74" i="10" s="1"/>
  <c r="L73" i="10"/>
  <c r="L74" i="10" s="1"/>
  <c r="M73" i="10"/>
  <c r="M74" i="10" s="1"/>
  <c r="D73" i="10"/>
  <c r="D90" i="10" l="1"/>
  <c r="F94" i="10"/>
  <c r="D94" i="10"/>
  <c r="E94" i="10"/>
  <c r="D76" i="10"/>
  <c r="AL75" i="10"/>
  <c r="AF75" i="10"/>
  <c r="AO76" i="10"/>
  <c r="AC75" i="10" s="1"/>
  <c r="AI75" i="10"/>
  <c r="Z75" i="10"/>
  <c r="D78" i="10"/>
  <c r="AO78" i="10"/>
  <c r="AL77" i="10"/>
  <c r="AI77" i="10"/>
  <c r="AF77" i="10"/>
  <c r="Z77" i="10"/>
  <c r="D74" i="10"/>
  <c r="Z73" i="10" s="1"/>
  <c r="AL73" i="10"/>
  <c r="AF73" i="10"/>
  <c r="AI73" i="10"/>
  <c r="AO74" i="10"/>
  <c r="AC73" i="10" s="1"/>
  <c r="AO17" i="10"/>
  <c r="AO19" i="10"/>
  <c r="AL18" i="10"/>
  <c r="AL16" i="10"/>
  <c r="AI18" i="10"/>
  <c r="AI16" i="10"/>
  <c r="AF18" i="10"/>
  <c r="Z16" i="10"/>
  <c r="AC77" i="10" l="1"/>
  <c r="AC79" i="10" s="1"/>
  <c r="Z79" i="10"/>
  <c r="AL79" i="10"/>
  <c r="AI79" i="10"/>
  <c r="AF79" i="10"/>
  <c r="O77" i="10"/>
  <c r="O73" i="10"/>
  <c r="O75" i="10"/>
  <c r="Q77" i="10" l="1"/>
  <c r="Q75" i="10"/>
  <c r="Q73" i="10"/>
  <c r="D61" i="10"/>
  <c r="D62" i="10" s="1"/>
  <c r="E61" i="10"/>
  <c r="E62" i="10" s="1"/>
  <c r="F61" i="10"/>
  <c r="F62" i="10" s="1"/>
  <c r="G61" i="10"/>
  <c r="G62" i="10" s="1"/>
  <c r="H61" i="10"/>
  <c r="H62" i="10" s="1"/>
  <c r="I61" i="10"/>
  <c r="I62" i="10" s="1"/>
  <c r="J61" i="10"/>
  <c r="J62" i="10" s="1"/>
  <c r="K61" i="10"/>
  <c r="K62" i="10" s="1"/>
  <c r="L61" i="10"/>
  <c r="L62" i="10" s="1"/>
  <c r="C61" i="10"/>
  <c r="M61" i="10"/>
  <c r="M62" i="10" s="1"/>
  <c r="N61" i="10"/>
  <c r="N62" i="10" s="1"/>
  <c r="O61" i="10"/>
  <c r="O62" i="10" s="1"/>
  <c r="P61" i="10"/>
  <c r="P62" i="10" s="1"/>
  <c r="Q61" i="10"/>
  <c r="Q62" i="10" s="1"/>
  <c r="N55" i="10"/>
  <c r="N56" i="10" s="1"/>
  <c r="O55" i="10"/>
  <c r="O56" i="10" s="1"/>
  <c r="P55" i="10"/>
  <c r="P56" i="10" s="1"/>
  <c r="Q55" i="10"/>
  <c r="Q56" i="10" s="1"/>
  <c r="M55" i="10"/>
  <c r="M56" i="10" s="1"/>
  <c r="D55" i="10"/>
  <c r="D56" i="10" s="1"/>
  <c r="E55" i="10"/>
  <c r="E56" i="10" s="1"/>
  <c r="F55" i="10"/>
  <c r="F56" i="10" s="1"/>
  <c r="G55" i="10"/>
  <c r="G56" i="10" s="1"/>
  <c r="H55" i="10"/>
  <c r="H56" i="10" s="1"/>
  <c r="I55" i="10"/>
  <c r="I56" i="10" s="1"/>
  <c r="J55" i="10"/>
  <c r="J56" i="10" s="1"/>
  <c r="K55" i="10"/>
  <c r="K56" i="10" s="1"/>
  <c r="L55" i="10"/>
  <c r="L56" i="10" s="1"/>
  <c r="C55" i="10"/>
  <c r="N49" i="10"/>
  <c r="N50" i="10" s="1"/>
  <c r="O49" i="10"/>
  <c r="O50" i="10" s="1"/>
  <c r="P49" i="10"/>
  <c r="P50" i="10" s="1"/>
  <c r="Q49" i="10"/>
  <c r="Q50" i="10" s="1"/>
  <c r="M50" i="10"/>
  <c r="D49" i="10"/>
  <c r="D50" i="10" s="1"/>
  <c r="E49" i="10"/>
  <c r="E50" i="10" s="1"/>
  <c r="F49" i="10"/>
  <c r="F50" i="10" s="1"/>
  <c r="G49" i="10"/>
  <c r="G50" i="10" s="1"/>
  <c r="H49" i="10"/>
  <c r="H50" i="10" s="1"/>
  <c r="I49" i="10"/>
  <c r="I50" i="10" s="1"/>
  <c r="J49" i="10"/>
  <c r="J50" i="10" s="1"/>
  <c r="K49" i="10"/>
  <c r="K50" i="10" s="1"/>
  <c r="L49" i="10"/>
  <c r="L50" i="10" s="1"/>
  <c r="C49" i="10"/>
  <c r="Q79" i="10" l="1"/>
  <c r="P88" i="10" s="1"/>
  <c r="C56" i="10"/>
  <c r="C60" i="10" s="1"/>
  <c r="C50" i="10"/>
  <c r="C62" i="10"/>
  <c r="Q66" i="10"/>
  <c r="P66" i="10"/>
  <c r="M66" i="10"/>
  <c r="L66" i="10"/>
  <c r="I66" i="10"/>
  <c r="H66" i="10"/>
  <c r="G66" i="10"/>
  <c r="E66" i="10"/>
  <c r="D66" i="10"/>
  <c r="O66" i="10"/>
  <c r="N66" i="10"/>
  <c r="K66" i="10"/>
  <c r="J66" i="10"/>
  <c r="F66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D60" i="10"/>
  <c r="P54" i="10"/>
  <c r="N54" i="10"/>
  <c r="M54" i="10"/>
  <c r="L54" i="10"/>
  <c r="K54" i="10"/>
  <c r="J54" i="10"/>
  <c r="I54" i="10"/>
  <c r="H54" i="10"/>
  <c r="G54" i="10"/>
  <c r="F54" i="10"/>
  <c r="E54" i="10"/>
  <c r="Q54" i="10"/>
  <c r="O54" i="10"/>
  <c r="D54" i="10"/>
  <c r="C66" i="10" l="1"/>
  <c r="U61" i="10" s="1"/>
  <c r="T49" i="10"/>
  <c r="T55" i="10"/>
  <c r="E60" i="10"/>
  <c r="U55" i="10" s="1"/>
  <c r="T61" i="10"/>
  <c r="C54" i="10"/>
  <c r="U49" i="10" s="1"/>
  <c r="H32" i="10"/>
  <c r="H34" i="10" s="1"/>
  <c r="G32" i="10"/>
  <c r="G34" i="10" s="1"/>
  <c r="K18" i="10"/>
  <c r="J18" i="10"/>
  <c r="I18" i="10"/>
  <c r="H18" i="10"/>
  <c r="G18" i="10"/>
  <c r="F18" i="10"/>
  <c r="E18" i="10"/>
  <c r="D18" i="10"/>
  <c r="C19" i="9"/>
  <c r="H28" i="10"/>
  <c r="H30" i="10" s="1"/>
  <c r="G28" i="10"/>
  <c r="G30" i="10" s="1"/>
  <c r="K16" i="10"/>
  <c r="J16" i="10"/>
  <c r="AF16" i="10" s="1"/>
  <c r="I16" i="10"/>
  <c r="H16" i="10"/>
  <c r="G16" i="10"/>
  <c r="F16" i="10"/>
  <c r="E16" i="10"/>
  <c r="D16" i="10"/>
  <c r="AC16" i="10" s="1"/>
  <c r="C17" i="9"/>
  <c r="H24" i="10"/>
  <c r="H26" i="10" s="1"/>
  <c r="G24" i="10"/>
  <c r="G26" i="10" s="1"/>
  <c r="D14" i="10"/>
  <c r="K14" i="10"/>
  <c r="J14" i="10"/>
  <c r="I14" i="10"/>
  <c r="AL14" i="10" s="1"/>
  <c r="H14" i="10"/>
  <c r="AO15" i="10" s="1"/>
  <c r="G14" i="10"/>
  <c r="AI14" i="10" s="1"/>
  <c r="F14" i="10"/>
  <c r="AF14" i="10" s="1"/>
  <c r="E14" i="10"/>
  <c r="C15" i="9"/>
  <c r="J31" i="10"/>
  <c r="I31" i="10"/>
  <c r="I91" i="10" s="1"/>
  <c r="J27" i="10"/>
  <c r="I87" i="10"/>
  <c r="J23" i="10"/>
  <c r="J83" i="10" s="1"/>
  <c r="J84" i="10" s="1"/>
  <c r="J86" i="10" s="1"/>
  <c r="I23" i="10"/>
  <c r="I83" i="10" s="1"/>
  <c r="J9" i="10"/>
  <c r="H9" i="10"/>
  <c r="F9" i="10"/>
  <c r="L8" i="10"/>
  <c r="L7" i="10"/>
  <c r="Z14" i="10" l="1"/>
  <c r="Z18" i="10"/>
  <c r="AC18" i="10"/>
  <c r="AN76" i="10"/>
  <c r="AA75" i="10" s="1"/>
  <c r="AJ75" i="10"/>
  <c r="AG75" i="10"/>
  <c r="AD75" i="10"/>
  <c r="X75" i="10"/>
  <c r="P75" i="10"/>
  <c r="I88" i="10"/>
  <c r="I90" i="10" s="1"/>
  <c r="I92" i="10"/>
  <c r="I94" i="10" s="1"/>
  <c r="AN78" i="10"/>
  <c r="AA77" i="10" s="1"/>
  <c r="AJ77" i="10"/>
  <c r="AG77" i="10"/>
  <c r="AD77" i="10"/>
  <c r="X77" i="10"/>
  <c r="P77" i="10"/>
  <c r="I84" i="10"/>
  <c r="I86" i="10" s="1"/>
  <c r="K83" i="10" s="1"/>
  <c r="AH73" i="10"/>
  <c r="AB73" i="10"/>
  <c r="AK73" i="10"/>
  <c r="Y73" i="10"/>
  <c r="AE73" i="10"/>
  <c r="AD73" i="10"/>
  <c r="AG73" i="10"/>
  <c r="AN74" i="10"/>
  <c r="AA73" i="10" s="1"/>
  <c r="AJ73" i="10"/>
  <c r="X73" i="10"/>
  <c r="P73" i="10"/>
  <c r="AC14" i="10"/>
  <c r="S55" i="10"/>
  <c r="S56" i="10" s="1"/>
  <c r="S60" i="10" s="1"/>
  <c r="J87" i="10"/>
  <c r="J88" i="10" s="1"/>
  <c r="J90" i="10" s="1"/>
  <c r="S61" i="10"/>
  <c r="S62" i="10" s="1"/>
  <c r="S66" i="10" s="1"/>
  <c r="J91" i="10"/>
  <c r="J92" i="10" s="1"/>
  <c r="J94" i="10" s="1"/>
  <c r="AJ16" i="10"/>
  <c r="AD16" i="10"/>
  <c r="X16" i="10"/>
  <c r="AN17" i="10"/>
  <c r="AA16" i="10" s="1"/>
  <c r="AG16" i="10"/>
  <c r="R55" i="10"/>
  <c r="R56" i="10" s="1"/>
  <c r="R60" i="10" s="1"/>
  <c r="AH16" i="10"/>
  <c r="AK16" i="10"/>
  <c r="Y16" i="10"/>
  <c r="AE16" i="10"/>
  <c r="AN19" i="10"/>
  <c r="AA18" i="10" s="1"/>
  <c r="AG18" i="10"/>
  <c r="AJ18" i="10"/>
  <c r="AD18" i="10"/>
  <c r="X18" i="10"/>
  <c r="R61" i="10"/>
  <c r="R62" i="10" s="1"/>
  <c r="R66" i="10" s="1"/>
  <c r="AK18" i="10"/>
  <c r="Y18" i="10"/>
  <c r="AB18" i="10"/>
  <c r="AE18" i="10"/>
  <c r="AH18" i="10"/>
  <c r="AE14" i="10"/>
  <c r="AH14" i="10"/>
  <c r="AK14" i="10"/>
  <c r="AB14" i="10"/>
  <c r="Y14" i="10"/>
  <c r="X14" i="10"/>
  <c r="AJ14" i="10"/>
  <c r="AD14" i="10"/>
  <c r="AN15" i="10"/>
  <c r="AA14" i="10" s="1"/>
  <c r="AG14" i="10"/>
  <c r="I24" i="10"/>
  <c r="I26" i="10" s="1"/>
  <c r="R49" i="10"/>
  <c r="J24" i="10"/>
  <c r="J26" i="10" s="1"/>
  <c r="S49" i="10"/>
  <c r="S50" i="10" s="1"/>
  <c r="S54" i="10" s="1"/>
  <c r="U67" i="10"/>
  <c r="I32" i="10"/>
  <c r="I34" i="10" s="1"/>
  <c r="J28" i="10"/>
  <c r="J30" i="10" s="1"/>
  <c r="J32" i="10"/>
  <c r="J34" i="10" s="1"/>
  <c r="I28" i="10"/>
  <c r="L9" i="10"/>
  <c r="O17" i="10"/>
  <c r="Q17" i="10" s="1"/>
  <c r="O15" i="10"/>
  <c r="P15" i="10" s="1"/>
  <c r="O13" i="10"/>
  <c r="Q13" i="10" s="1"/>
  <c r="Q9" i="10"/>
  <c r="K91" i="10" l="1"/>
  <c r="P85" i="10" s="1"/>
  <c r="K87" i="10"/>
  <c r="AB16" i="10"/>
  <c r="I30" i="10"/>
  <c r="P79" i="10"/>
  <c r="P81" i="10" s="1"/>
  <c r="AD52" i="10"/>
  <c r="Y51" i="10" s="1"/>
  <c r="AA53" i="10"/>
  <c r="X51" i="10"/>
  <c r="AH77" i="10"/>
  <c r="Y75" i="10"/>
  <c r="AE77" i="10"/>
  <c r="AB75" i="10"/>
  <c r="X79" i="10"/>
  <c r="K23" i="10"/>
  <c r="AG79" i="10"/>
  <c r="Y20" i="10"/>
  <c r="AD79" i="10"/>
  <c r="AE75" i="10"/>
  <c r="AA51" i="10"/>
  <c r="Z51" i="10"/>
  <c r="Z53" i="10"/>
  <c r="AB53" i="10"/>
  <c r="AG20" i="10"/>
  <c r="X20" i="10"/>
  <c r="AH20" i="10"/>
  <c r="AJ79" i="10"/>
  <c r="AB77" i="10"/>
  <c r="AK77" i="10"/>
  <c r="AH75" i="10"/>
  <c r="X53" i="10"/>
  <c r="AK20" i="10"/>
  <c r="AB51" i="10"/>
  <c r="AD54" i="10"/>
  <c r="Y53" i="10" s="1"/>
  <c r="AE20" i="10"/>
  <c r="AA79" i="10"/>
  <c r="Y77" i="10"/>
  <c r="AK75" i="10"/>
  <c r="AB20" i="10"/>
  <c r="K27" i="10"/>
  <c r="AD20" i="10"/>
  <c r="AL20" i="10"/>
  <c r="AC20" i="10"/>
  <c r="AJ20" i="10"/>
  <c r="AA20" i="10"/>
  <c r="AI20" i="10"/>
  <c r="Z20" i="10"/>
  <c r="R50" i="10"/>
  <c r="R54" i="10" s="1"/>
  <c r="AD50" i="10"/>
  <c r="Y49" i="10" s="1"/>
  <c r="Z49" i="10"/>
  <c r="AB49" i="10"/>
  <c r="X49" i="10"/>
  <c r="AA49" i="10"/>
  <c r="AF20" i="10"/>
  <c r="K31" i="10"/>
  <c r="P17" i="10"/>
  <c r="Q15" i="10"/>
  <c r="Q19" i="10" s="1"/>
  <c r="P13" i="10"/>
  <c r="P91" i="10" l="1"/>
  <c r="AH79" i="10"/>
  <c r="AG81" i="10" s="1"/>
  <c r="Y79" i="10"/>
  <c r="X81" i="10" s="1"/>
  <c r="AB79" i="10"/>
  <c r="AA81" i="10" s="1"/>
  <c r="AE79" i="10"/>
  <c r="AD81" i="10" s="1"/>
  <c r="AK79" i="10"/>
  <c r="AJ81" i="10" s="1"/>
  <c r="Z55" i="10"/>
  <c r="X22" i="10"/>
  <c r="P28" i="10"/>
  <c r="Y55" i="10"/>
  <c r="X55" i="10"/>
  <c r="AG22" i="10"/>
  <c r="AA55" i="10"/>
  <c r="AB55" i="10"/>
  <c r="AD22" i="10"/>
  <c r="AJ22" i="10"/>
  <c r="AA22" i="10"/>
  <c r="P19" i="10"/>
  <c r="P25" i="10" s="1"/>
  <c r="P31" i="10" l="1"/>
  <c r="S9" i="9" l="1"/>
  <c r="T48" i="9" l="1"/>
  <c r="T42" i="9" l="1"/>
  <c r="S18" i="9" l="1"/>
  <c r="S64" i="9" s="1"/>
  <c r="S65" i="9" s="1"/>
  <c r="R18" i="9"/>
  <c r="R64" i="9" s="1"/>
  <c r="R65" i="9" s="1"/>
  <c r="S16" i="9"/>
  <c r="R16" i="9"/>
  <c r="S14" i="9"/>
  <c r="R14" i="9"/>
  <c r="S19" i="9" l="1"/>
  <c r="S48" i="9"/>
  <c r="S49" i="9" s="1"/>
  <c r="S53" i="9" s="1"/>
  <c r="AG16" i="9"/>
  <c r="AL17" i="9"/>
  <c r="AC16" i="9" s="1"/>
  <c r="AE16" i="9"/>
  <c r="AA16" i="9"/>
  <c r="AI16" i="9"/>
  <c r="AE14" i="9"/>
  <c r="AL15" i="9"/>
  <c r="AC14" i="9" s="1"/>
  <c r="AG14" i="9"/>
  <c r="AI14" i="9"/>
  <c r="AA14" i="9"/>
  <c r="R19" i="9"/>
  <c r="AE18" i="9"/>
  <c r="AA18" i="9"/>
  <c r="AI18" i="9"/>
  <c r="AG18" i="9"/>
  <c r="AL19" i="9"/>
  <c r="AC18" i="9" s="1"/>
  <c r="R48" i="9"/>
  <c r="R49" i="9" s="1"/>
  <c r="R53" i="9" s="1"/>
  <c r="C36" i="9"/>
  <c r="C37" i="9" l="1"/>
  <c r="AA20" i="9"/>
  <c r="AC20" i="9"/>
  <c r="AG20" i="9"/>
  <c r="AI20" i="9"/>
  <c r="AE20" i="9"/>
  <c r="E64" i="9"/>
  <c r="F64" i="9"/>
  <c r="F65" i="9" s="1"/>
  <c r="G64" i="9"/>
  <c r="H64" i="9"/>
  <c r="H65" i="9" s="1"/>
  <c r="I64" i="9"/>
  <c r="J64" i="9"/>
  <c r="J65" i="9" s="1"/>
  <c r="K64" i="9"/>
  <c r="K65" i="9" s="1"/>
  <c r="L64" i="9"/>
  <c r="L65" i="9" s="1"/>
  <c r="M64" i="9"/>
  <c r="M65" i="9" s="1"/>
  <c r="N64" i="9"/>
  <c r="N65" i="9" s="1"/>
  <c r="O64" i="9"/>
  <c r="O65" i="9" s="1"/>
  <c r="P64" i="9"/>
  <c r="Q64" i="9"/>
  <c r="Q65" i="9" s="1"/>
  <c r="D64" i="9"/>
  <c r="D65" i="9" s="1"/>
  <c r="C64" i="9"/>
  <c r="E62" i="9"/>
  <c r="F62" i="9"/>
  <c r="F63" i="9" s="1"/>
  <c r="G62" i="9"/>
  <c r="H62" i="9"/>
  <c r="H63" i="9" s="1"/>
  <c r="I62" i="9"/>
  <c r="J62" i="9"/>
  <c r="J63" i="9" s="1"/>
  <c r="K62" i="9"/>
  <c r="K63" i="9" s="1"/>
  <c r="L62" i="9"/>
  <c r="L63" i="9" s="1"/>
  <c r="M62" i="9"/>
  <c r="M63" i="9" s="1"/>
  <c r="N62" i="9"/>
  <c r="N63" i="9" s="1"/>
  <c r="O62" i="9"/>
  <c r="O63" i="9" s="1"/>
  <c r="P62" i="9"/>
  <c r="Q62" i="9"/>
  <c r="Q63" i="9" s="1"/>
  <c r="R62" i="9"/>
  <c r="S62" i="9"/>
  <c r="S63" i="9" s="1"/>
  <c r="D62" i="9"/>
  <c r="D63" i="9" s="1"/>
  <c r="C62" i="9"/>
  <c r="E60" i="9"/>
  <c r="F60" i="9"/>
  <c r="F61" i="9" s="1"/>
  <c r="G60" i="9"/>
  <c r="H60" i="9"/>
  <c r="H61" i="9" s="1"/>
  <c r="I60" i="9"/>
  <c r="J60" i="9"/>
  <c r="J61" i="9" s="1"/>
  <c r="K60" i="9"/>
  <c r="K61" i="9" s="1"/>
  <c r="L60" i="9"/>
  <c r="L61" i="9" s="1"/>
  <c r="M60" i="9"/>
  <c r="M61" i="9" s="1"/>
  <c r="N60" i="9"/>
  <c r="N61" i="9" s="1"/>
  <c r="O60" i="9"/>
  <c r="O61" i="9" s="1"/>
  <c r="P60" i="9"/>
  <c r="Q60" i="9"/>
  <c r="Q61" i="9" s="1"/>
  <c r="R60" i="9"/>
  <c r="S60" i="9"/>
  <c r="S61" i="9" s="1"/>
  <c r="D60" i="9"/>
  <c r="D61" i="9" s="1"/>
  <c r="C60" i="9"/>
  <c r="AC62" i="9" l="1"/>
  <c r="AD62" i="9"/>
  <c r="AF63" i="9"/>
  <c r="AA62" i="9" s="1"/>
  <c r="AB62" i="9"/>
  <c r="Z62" i="9"/>
  <c r="AF65" i="9"/>
  <c r="AA64" i="9" s="1"/>
  <c r="Z64" i="9"/>
  <c r="AC64" i="9"/>
  <c r="AD64" i="9"/>
  <c r="AB64" i="9"/>
  <c r="Z60" i="9"/>
  <c r="C61" i="9"/>
  <c r="AC60" i="9"/>
  <c r="AF61" i="9"/>
  <c r="AA60" i="9" s="1"/>
  <c r="AB60" i="9"/>
  <c r="AD60" i="9"/>
  <c r="Q19" i="9"/>
  <c r="S17" i="9"/>
  <c r="Q17" i="9"/>
  <c r="S15" i="9"/>
  <c r="Q15" i="9"/>
  <c r="J19" i="9"/>
  <c r="J17" i="9"/>
  <c r="J15" i="9"/>
  <c r="H19" i="9"/>
  <c r="H17" i="9"/>
  <c r="H15" i="9"/>
  <c r="F19" i="9"/>
  <c r="F17" i="9"/>
  <c r="F15" i="9"/>
  <c r="Z66" i="9" l="1"/>
  <c r="AD66" i="9"/>
  <c r="AA66" i="9"/>
  <c r="AB66" i="9"/>
  <c r="AC66" i="9"/>
  <c r="D19" i="9"/>
  <c r="D17" i="9"/>
  <c r="D15" i="9"/>
  <c r="E48" i="9"/>
  <c r="E49" i="9" s="1"/>
  <c r="E53" i="9" s="1"/>
  <c r="F48" i="9"/>
  <c r="F49" i="9" s="1"/>
  <c r="F53" i="9" s="1"/>
  <c r="G48" i="9"/>
  <c r="G49" i="9" s="1"/>
  <c r="G53" i="9" s="1"/>
  <c r="H48" i="9"/>
  <c r="H49" i="9" s="1"/>
  <c r="H53" i="9" s="1"/>
  <c r="I48" i="9"/>
  <c r="I49" i="9" s="1"/>
  <c r="I53" i="9" s="1"/>
  <c r="J48" i="9"/>
  <c r="J49" i="9" s="1"/>
  <c r="J53" i="9" s="1"/>
  <c r="K48" i="9"/>
  <c r="L48" i="9"/>
  <c r="M48" i="9"/>
  <c r="N48" i="9"/>
  <c r="O48" i="9"/>
  <c r="P48" i="9"/>
  <c r="P49" i="9" s="1"/>
  <c r="P53" i="9" s="1"/>
  <c r="Q48" i="9"/>
  <c r="Q49" i="9" s="1"/>
  <c r="Q53" i="9" s="1"/>
  <c r="D48" i="9"/>
  <c r="D49" i="9" s="1"/>
  <c r="D53" i="9" s="1"/>
  <c r="C48" i="9"/>
  <c r="E42" i="9"/>
  <c r="E43" i="9" s="1"/>
  <c r="E47" i="9" s="1"/>
  <c r="F42" i="9"/>
  <c r="F43" i="9" s="1"/>
  <c r="F47" i="9" s="1"/>
  <c r="G42" i="9"/>
  <c r="G43" i="9" s="1"/>
  <c r="G47" i="9" s="1"/>
  <c r="H42" i="9"/>
  <c r="H43" i="9" s="1"/>
  <c r="H47" i="9" s="1"/>
  <c r="I42" i="9"/>
  <c r="I43" i="9" s="1"/>
  <c r="I47" i="9" s="1"/>
  <c r="J42" i="9"/>
  <c r="J43" i="9" s="1"/>
  <c r="J47" i="9" s="1"/>
  <c r="K42" i="9"/>
  <c r="L42" i="9"/>
  <c r="M42" i="9"/>
  <c r="N42" i="9"/>
  <c r="O42" i="9"/>
  <c r="P42" i="9"/>
  <c r="P43" i="9" s="1"/>
  <c r="P47" i="9" s="1"/>
  <c r="Q42" i="9"/>
  <c r="Q43" i="9" s="1"/>
  <c r="Q47" i="9" s="1"/>
  <c r="R42" i="9"/>
  <c r="R43" i="9" s="1"/>
  <c r="R47" i="9" s="1"/>
  <c r="S42" i="9"/>
  <c r="S43" i="9" s="1"/>
  <c r="S47" i="9" s="1"/>
  <c r="D42" i="9"/>
  <c r="D43" i="9" s="1"/>
  <c r="D47" i="9" s="1"/>
  <c r="C42" i="9"/>
  <c r="E36" i="9"/>
  <c r="E37" i="9" s="1"/>
  <c r="E41" i="9" s="1"/>
  <c r="F36" i="9"/>
  <c r="F37" i="9" s="1"/>
  <c r="F41" i="9" s="1"/>
  <c r="G36" i="9"/>
  <c r="G37" i="9" s="1"/>
  <c r="G41" i="9" s="1"/>
  <c r="H36" i="9"/>
  <c r="H37" i="9" s="1"/>
  <c r="H41" i="9" s="1"/>
  <c r="I36" i="9"/>
  <c r="I37" i="9" s="1"/>
  <c r="I41" i="9" s="1"/>
  <c r="J36" i="9"/>
  <c r="J37" i="9" s="1"/>
  <c r="J41" i="9" s="1"/>
  <c r="K36" i="9"/>
  <c r="L36" i="9"/>
  <c r="M36" i="9"/>
  <c r="N36" i="9"/>
  <c r="O36" i="9"/>
  <c r="P36" i="9"/>
  <c r="P37" i="9" s="1"/>
  <c r="P41" i="9" s="1"/>
  <c r="Q36" i="9"/>
  <c r="Q37" i="9" s="1"/>
  <c r="Q41" i="9" s="1"/>
  <c r="R36" i="9"/>
  <c r="R37" i="9" s="1"/>
  <c r="R41" i="9" s="1"/>
  <c r="S36" i="9"/>
  <c r="S37" i="9" s="1"/>
  <c r="S41" i="9" s="1"/>
  <c r="D36" i="9"/>
  <c r="L37" i="9" l="1"/>
  <c r="L41" i="9" s="1"/>
  <c r="M43" i="9"/>
  <c r="M47" i="9" s="1"/>
  <c r="L43" i="9"/>
  <c r="L47" i="9" s="1"/>
  <c r="O43" i="9"/>
  <c r="O47" i="9" s="1"/>
  <c r="K43" i="9"/>
  <c r="K47" i="9" s="1"/>
  <c r="L49" i="9"/>
  <c r="L53" i="9" s="1"/>
  <c r="O37" i="9"/>
  <c r="O41" i="9" s="1"/>
  <c r="K37" i="9"/>
  <c r="K41" i="9" s="1"/>
  <c r="O49" i="9"/>
  <c r="O53" i="9" s="1"/>
  <c r="K49" i="9"/>
  <c r="K53" i="9" s="1"/>
  <c r="N37" i="9"/>
  <c r="N41" i="9" s="1"/>
  <c r="N49" i="9"/>
  <c r="N53" i="9" s="1"/>
  <c r="M37" i="9"/>
  <c r="M41" i="9" s="1"/>
  <c r="N43" i="9"/>
  <c r="N47" i="9" s="1"/>
  <c r="M49" i="9"/>
  <c r="M53" i="9" s="1"/>
  <c r="D37" i="9"/>
  <c r="D41" i="9" s="1"/>
  <c r="Z36" i="9"/>
  <c r="AD36" i="9"/>
  <c r="AC36" i="9"/>
  <c r="AB36" i="9"/>
  <c r="AF37" i="9"/>
  <c r="AA36" i="9" s="1"/>
  <c r="C43" i="9"/>
  <c r="C47" i="9" s="1"/>
  <c r="U42" i="9" s="1"/>
  <c r="AC38" i="9"/>
  <c r="AF39" i="9"/>
  <c r="AA38" i="9" s="1"/>
  <c r="AB38" i="9"/>
  <c r="AD38" i="9"/>
  <c r="Z38" i="9"/>
  <c r="C49" i="9"/>
  <c r="C53" i="9" s="1"/>
  <c r="U48" i="9" s="1"/>
  <c r="AD40" i="9"/>
  <c r="Z40" i="9"/>
  <c r="AF41" i="9"/>
  <c r="AA40" i="9" s="1"/>
  <c r="AB40" i="9"/>
  <c r="AC40" i="9"/>
  <c r="AB42" i="9" l="1"/>
  <c r="AA42" i="9"/>
  <c r="Z42" i="9"/>
  <c r="AC42" i="9"/>
  <c r="AD42" i="9"/>
  <c r="R63" i="9"/>
  <c r="R15" i="9"/>
  <c r="P65" i="9"/>
  <c r="I63" i="9"/>
  <c r="I61" i="9"/>
  <c r="G65" i="9"/>
  <c r="C65" i="9"/>
  <c r="P19" i="9"/>
  <c r="I19" i="9"/>
  <c r="G19" i="9"/>
  <c r="E19" i="9"/>
  <c r="P17" i="9"/>
  <c r="I17" i="9"/>
  <c r="G17" i="9"/>
  <c r="E17" i="9"/>
  <c r="P15" i="9"/>
  <c r="I15" i="9"/>
  <c r="G15" i="9"/>
  <c r="E15" i="9"/>
  <c r="J9" i="9"/>
  <c r="H9" i="9"/>
  <c r="F9" i="9"/>
  <c r="L8" i="9"/>
  <c r="L7" i="9"/>
  <c r="T36" i="9" l="1"/>
  <c r="C41" i="9"/>
  <c r="U36" i="9" s="1"/>
  <c r="U54" i="9" s="1"/>
  <c r="AF18" i="9"/>
  <c r="AD18" i="9"/>
  <c r="AK19" i="9"/>
  <c r="AB18" i="9" s="1"/>
  <c r="Z18" i="9"/>
  <c r="AH18" i="9"/>
  <c r="AF16" i="9"/>
  <c r="AD16" i="9"/>
  <c r="AH16" i="9"/>
  <c r="AK17" i="9"/>
  <c r="AB16" i="9" s="1"/>
  <c r="Z16" i="9"/>
  <c r="AH14" i="9"/>
  <c r="Z14" i="9"/>
  <c r="AD14" i="9"/>
  <c r="AK15" i="9"/>
  <c r="AB14" i="9" s="1"/>
  <c r="AF14" i="9"/>
  <c r="I65" i="9"/>
  <c r="E65" i="9"/>
  <c r="P63" i="9"/>
  <c r="G63" i="9"/>
  <c r="C63" i="9"/>
  <c r="P61" i="9"/>
  <c r="G61" i="9"/>
  <c r="E61" i="9"/>
  <c r="R17" i="9"/>
  <c r="T14" i="9"/>
  <c r="U14" i="9" s="1"/>
  <c r="E63" i="9"/>
  <c r="J22" i="9"/>
  <c r="T18" i="9"/>
  <c r="V18" i="9" s="1"/>
  <c r="L9" i="9"/>
  <c r="AD20" i="9" l="1"/>
  <c r="AD22" i="9" s="1"/>
  <c r="AF20" i="9"/>
  <c r="AF22" i="9" s="1"/>
  <c r="AH20" i="9"/>
  <c r="AH22" i="9" s="1"/>
  <c r="AB20" i="9"/>
  <c r="AB22" i="9" s="1"/>
  <c r="Z20" i="9"/>
  <c r="Z22" i="9" s="1"/>
  <c r="R61" i="9"/>
  <c r="T60" i="9" s="1"/>
  <c r="V60" i="9" s="1"/>
  <c r="T64" i="9"/>
  <c r="V64" i="9" s="1"/>
  <c r="T62" i="9"/>
  <c r="V62" i="9" s="1"/>
  <c r="T16" i="9"/>
  <c r="U16" i="9" s="1"/>
  <c r="V14" i="9"/>
  <c r="U18" i="9"/>
  <c r="V66" i="9" l="1"/>
  <c r="U64" i="9"/>
  <c r="U62" i="9"/>
  <c r="U60" i="9"/>
  <c r="V16" i="9"/>
  <c r="V20" i="9" s="1"/>
  <c r="U20" i="9"/>
  <c r="J23" i="9" s="1"/>
  <c r="J24" i="9" s="1"/>
  <c r="U66" i="9" l="1"/>
  <c r="G34" i="6" l="1"/>
  <c r="S7" i="10" s="1"/>
  <c r="F34" i="6"/>
  <c r="E34" i="6"/>
  <c r="S9" i="10" s="1"/>
  <c r="D34" i="6"/>
  <c r="R7" i="10" l="1"/>
  <c r="T7" i="10" s="1"/>
  <c r="T7" i="9"/>
  <c r="R9" i="10"/>
  <c r="T9" i="10" s="1"/>
  <c r="T9" i="9"/>
  <c r="U7" i="9"/>
  <c r="U9" i="9"/>
  <c r="F35" i="6"/>
  <c r="D35" i="6"/>
  <c r="V9" i="9" l="1"/>
  <c r="V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5" authorId="0" shapeId="0" xr:uid="{00000000-0006-0000-0000-000001000000}">
      <text>
        <r>
          <rPr>
            <b/>
            <sz val="16"/>
            <color indexed="81"/>
            <rFont val="細明體"/>
            <family val="3"/>
            <charset val="136"/>
          </rPr>
          <t>粉紅色格子為必填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5" authorId="0" shapeId="0" xr:uid="{00000000-0006-0000-0100-000001000000}">
      <text>
        <r>
          <rPr>
            <b/>
            <sz val="16"/>
            <color indexed="81"/>
            <rFont val="細明體"/>
            <family val="3"/>
            <charset val="136"/>
          </rPr>
          <t>粉紅色格子為必填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 xr:uid="{00000000-0006-0000-0100-000002000000}">
      <text>
        <r>
          <rPr>
            <b/>
            <sz val="9"/>
            <color indexed="81"/>
            <rFont val="細明體"/>
            <family val="3"/>
            <charset val="136"/>
          </rPr>
          <t>請輸入版本或從儲存格右下角三角按鈕選取。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1" authorId="0" shapeId="0" xr:uid="{00000000-0006-0000-0100-000003000000}">
      <text>
        <r>
          <rPr>
            <b/>
            <sz val="18"/>
            <color indexed="81"/>
            <rFont val="細明體"/>
            <family val="3"/>
            <charset val="136"/>
          </rPr>
          <t>無此需求者免填</t>
        </r>
      </text>
    </comment>
    <comment ref="D73" authorId="0" shapeId="0" xr:uid="{00000000-0006-0000-0100-000004000000}">
      <text>
        <r>
          <rPr>
            <b/>
            <sz val="9"/>
            <color indexed="81"/>
            <rFont val="細明體"/>
            <family val="3"/>
            <charset val="136"/>
          </rPr>
          <t>請輸入版本或從儲存格右下角三角按鈕選取。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1" authorId="0" shapeId="0" xr:uid="{00000000-0006-0000-0100-000005000000}">
      <text>
        <r>
          <rPr>
            <b/>
            <sz val="18"/>
            <color indexed="81"/>
            <rFont val="細明體"/>
            <family val="3"/>
            <charset val="136"/>
          </rPr>
          <t>無此需求者免填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4" authorId="0" shapeId="0" xr:uid="{00000000-0006-0000-0200-000001000000}">
      <text>
        <r>
          <rPr>
            <b/>
            <sz val="20"/>
            <color indexed="81"/>
            <rFont val="細明體"/>
            <family val="3"/>
            <charset val="136"/>
          </rPr>
          <t>請不要從「第</t>
        </r>
        <r>
          <rPr>
            <b/>
            <sz val="20"/>
            <color indexed="81"/>
            <rFont val="Tahoma"/>
            <family val="2"/>
          </rPr>
          <t>1</t>
        </r>
        <r>
          <rPr>
            <b/>
            <sz val="20"/>
            <color indexed="81"/>
            <rFont val="細明體"/>
            <family val="3"/>
            <charset val="136"/>
          </rPr>
          <t>列和最後</t>
        </r>
        <r>
          <rPr>
            <b/>
            <sz val="20"/>
            <color indexed="81"/>
            <rFont val="Tahoma"/>
            <family val="2"/>
          </rPr>
          <t>1</t>
        </r>
        <r>
          <rPr>
            <b/>
            <sz val="20"/>
            <color indexed="81"/>
            <rFont val="細明體"/>
            <family val="3"/>
            <charset val="136"/>
          </rPr>
          <t>列」
新增列數，避免影響公式計算</t>
        </r>
      </text>
    </comment>
  </commentList>
</comments>
</file>

<file path=xl/sharedStrings.xml><?xml version="1.0" encoding="utf-8"?>
<sst xmlns="http://schemas.openxmlformats.org/spreadsheetml/2006/main" count="1374" uniqueCount="247">
  <si>
    <t>冊別</t>
  </si>
  <si>
    <t>康軒</t>
  </si>
  <si>
    <t>翰林</t>
  </si>
  <si>
    <t>南一</t>
  </si>
  <si>
    <t>佳音</t>
  </si>
  <si>
    <t>奇鼎</t>
  </si>
  <si>
    <t>全華</t>
  </si>
  <si>
    <t>抬頭1</t>
  </si>
  <si>
    <t>抬頭2</t>
  </si>
  <si>
    <t>花蓮縣縣立玉里國中學校與學生用書補助統計</t>
  </si>
  <si>
    <t>版本</t>
    <phoneticPr fontId="3" type="noConversion"/>
  </si>
  <si>
    <t>合計</t>
    <phoneticPr fontId="3" type="noConversion"/>
  </si>
  <si>
    <t>翰林</t>
    <phoneticPr fontId="4" type="noConversion"/>
  </si>
  <si>
    <t>南一</t>
    <phoneticPr fontId="4" type="noConversion"/>
  </si>
  <si>
    <t>奇鼎</t>
    <phoneticPr fontId="4" type="noConversion"/>
  </si>
  <si>
    <t>國文</t>
  </si>
  <si>
    <t>數學</t>
  </si>
  <si>
    <t>社會</t>
  </si>
  <si>
    <t>自然科學</t>
  </si>
  <si>
    <t>健康與體育</t>
  </si>
  <si>
    <t>綜合活動</t>
  </si>
  <si>
    <t>藝術</t>
  </si>
  <si>
    <t>國中英語</t>
  </si>
  <si>
    <t>科技</t>
  </si>
  <si>
    <t>類別</t>
  </si>
  <si>
    <t>課本</t>
  </si>
  <si>
    <t>習作</t>
  </si>
  <si>
    <r>
      <rPr>
        <sz val="12"/>
        <rFont val="標楷體"/>
        <family val="4"/>
        <charset val="136"/>
      </rPr>
      <t>學習領域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科</t>
    </r>
    <r>
      <rPr>
        <sz val="12"/>
        <rFont val="Times New Roman"/>
        <family val="1"/>
      </rPr>
      <t>)</t>
    </r>
  </si>
  <si>
    <t>年級</t>
    <phoneticPr fontId="3" type="noConversion"/>
  </si>
  <si>
    <t>無</t>
    <phoneticPr fontId="4" type="noConversion"/>
  </si>
  <si>
    <t>男</t>
    <phoneticPr fontId="3" type="noConversion"/>
  </si>
  <si>
    <t>女</t>
    <phoneticPr fontId="3" type="noConversion"/>
  </si>
  <si>
    <t>合計</t>
    <phoneticPr fontId="3" type="noConversion"/>
  </si>
  <si>
    <r>
      <t>班級學生調查表（</t>
    </r>
    <r>
      <rPr>
        <sz val="20"/>
        <color indexed="10"/>
        <rFont val="標楷體"/>
        <family val="4"/>
        <charset val="136"/>
      </rPr>
      <t>Ｂ表</t>
    </r>
    <r>
      <rPr>
        <sz val="20"/>
        <rFont val="標楷體"/>
        <family val="4"/>
        <charset val="136"/>
      </rPr>
      <t xml:space="preserve">）   </t>
    </r>
    <r>
      <rPr>
        <sz val="14"/>
        <rFont val="標楷體"/>
        <family val="4"/>
        <charset val="136"/>
      </rPr>
      <t>皆為必填欄位</t>
    </r>
    <phoneticPr fontId="3" type="noConversion"/>
  </si>
  <si>
    <t>班級</t>
    <phoneticPr fontId="3" type="noConversion"/>
  </si>
  <si>
    <t>導師姓名</t>
    <phoneticPr fontId="3" type="noConversion"/>
  </si>
  <si>
    <t>學生姓名</t>
    <phoneticPr fontId="3" type="noConversion"/>
  </si>
  <si>
    <t>性別
(是=1,否=0)</t>
    <phoneticPr fontId="3" type="noConversion"/>
  </si>
  <si>
    <t>學生身分
(是=1,否=0)</t>
    <phoneticPr fontId="3" type="noConversion"/>
  </si>
  <si>
    <t>低收</t>
    <phoneticPr fontId="3" type="noConversion"/>
  </si>
  <si>
    <t>中低收</t>
    <phoneticPr fontId="3" type="noConversion"/>
  </si>
  <si>
    <t>(自行增列)</t>
    <phoneticPr fontId="3" type="noConversion"/>
  </si>
  <si>
    <t>註.有關「學生身分別」欄，請擇一身分統計，切勿重複。</t>
    <phoneticPr fontId="3" type="noConversion"/>
  </si>
  <si>
    <t>編號</t>
  </si>
  <si>
    <t>花東書籍費及縣補助</t>
  </si>
  <si>
    <t>教育部補助(學生用書)</t>
  </si>
  <si>
    <t>康軒</t>
    <phoneticPr fontId="4" type="noConversion"/>
  </si>
  <si>
    <t>學校名稱</t>
    <phoneticPr fontId="25" type="noConversion"/>
  </si>
  <si>
    <t>年級</t>
    <phoneticPr fontId="25" type="noConversion"/>
  </si>
  <si>
    <t>合計</t>
    <phoneticPr fontId="25" type="noConversion"/>
  </si>
  <si>
    <t>年級人數</t>
    <phoneticPr fontId="25" type="noConversion"/>
  </si>
  <si>
    <t>審定本補助人數</t>
    <phoneticPr fontId="25" type="noConversion"/>
  </si>
  <si>
    <t>花東書籍費補助基本資料</t>
    <phoneticPr fontId="25" type="noConversion"/>
  </si>
  <si>
    <t>花東補助學生身分別資料</t>
    <phoneticPr fontId="25" type="noConversion"/>
  </si>
  <si>
    <t>低收入戶</t>
    <phoneticPr fontId="25" type="noConversion"/>
  </si>
  <si>
    <t>中低收入戶</t>
    <phoneticPr fontId="25" type="noConversion"/>
  </si>
  <si>
    <t>全校學生數</t>
    <phoneticPr fontId="25" type="noConversion"/>
  </si>
  <si>
    <t>男</t>
    <phoneticPr fontId="25" type="noConversion"/>
  </si>
  <si>
    <t>女</t>
    <phoneticPr fontId="25" type="noConversion"/>
  </si>
  <si>
    <t>七年級</t>
    <phoneticPr fontId="25" type="noConversion"/>
  </si>
  <si>
    <t>八年級</t>
    <phoneticPr fontId="25" type="noConversion"/>
  </si>
  <si>
    <t>九年級</t>
    <phoneticPr fontId="25" type="noConversion"/>
  </si>
  <si>
    <t>全校班級數</t>
    <phoneticPr fontId="3" type="noConversion"/>
  </si>
  <si>
    <r>
      <rPr>
        <sz val="11.5"/>
        <rFont val="標楷體"/>
        <family val="4"/>
      </rPr>
      <t>國文</t>
    </r>
  </si>
  <si>
    <r>
      <rPr>
        <sz val="11.5"/>
        <rFont val="標楷體"/>
        <family val="4"/>
      </rPr>
      <t>課本</t>
    </r>
  </si>
  <si>
    <r>
      <rPr>
        <sz val="11.5"/>
        <rFont val="標楷體"/>
        <family val="4"/>
      </rPr>
      <t>習作</t>
    </r>
  </si>
  <si>
    <r>
      <rPr>
        <sz val="11.5"/>
        <rFont val="標楷體"/>
        <family val="4"/>
      </rPr>
      <t>數學</t>
    </r>
  </si>
  <si>
    <r>
      <rPr>
        <sz val="11.5"/>
        <rFont val="標楷體"/>
        <family val="4"/>
      </rPr>
      <t>社會</t>
    </r>
  </si>
  <si>
    <r>
      <rPr>
        <sz val="11.5"/>
        <rFont val="標楷體"/>
        <family val="4"/>
      </rPr>
      <t>自然科學</t>
    </r>
  </si>
  <si>
    <r>
      <rPr>
        <sz val="11.5"/>
        <rFont val="標楷體"/>
        <family val="4"/>
      </rPr>
      <t>健康與體育</t>
    </r>
  </si>
  <si>
    <r>
      <rPr>
        <sz val="11.5"/>
        <rFont val="標楷體"/>
        <family val="4"/>
      </rPr>
      <t>綜合活動</t>
    </r>
  </si>
  <si>
    <r>
      <rPr>
        <sz val="11.5"/>
        <rFont val="標楷體"/>
        <family val="4"/>
      </rPr>
      <t>藝術</t>
    </r>
  </si>
  <si>
    <r>
      <rPr>
        <sz val="11.5"/>
        <rFont val="標楷體"/>
        <family val="4"/>
      </rPr>
      <t>國中英語</t>
    </r>
  </si>
  <si>
    <r>
      <rPr>
        <sz val="11.5"/>
        <rFont val="標楷體"/>
        <family val="4"/>
      </rPr>
      <t>科技</t>
    </r>
  </si>
  <si>
    <t>學習領域(科)</t>
  </si>
  <si>
    <t>版本</t>
    <phoneticPr fontId="3" type="noConversion"/>
  </si>
  <si>
    <t>金額</t>
  </si>
  <si>
    <t>金額</t>
    <phoneticPr fontId="3" type="noConversion"/>
  </si>
  <si>
    <t>佳音</t>
    <phoneticPr fontId="4" type="noConversion"/>
  </si>
  <si>
    <t>全華</t>
    <phoneticPr fontId="4" type="noConversion"/>
  </si>
  <si>
    <t>版本</t>
  </si>
  <si>
    <t>合計(人)</t>
    <phoneticPr fontId="25" type="noConversion"/>
  </si>
  <si>
    <t>一、基本資料</t>
    <phoneticPr fontId="25" type="noConversion"/>
  </si>
  <si>
    <r>
      <t>二、花東</t>
    </r>
    <r>
      <rPr>
        <b/>
        <sz val="12"/>
        <color rgb="FFFF0000"/>
        <rFont val="新細明體"/>
        <family val="1"/>
        <charset val="136"/>
      </rPr>
      <t>A表</t>
    </r>
    <phoneticPr fontId="25" type="noConversion"/>
  </si>
  <si>
    <t>國文</t>
    <phoneticPr fontId="3" type="noConversion"/>
  </si>
  <si>
    <t>數學</t>
    <phoneticPr fontId="3" type="noConversion"/>
  </si>
  <si>
    <t>社會</t>
    <phoneticPr fontId="3" type="noConversion"/>
  </si>
  <si>
    <t>自然科學</t>
    <phoneticPr fontId="3" type="noConversion"/>
  </si>
  <si>
    <t>英語</t>
    <phoneticPr fontId="3" type="noConversion"/>
  </si>
  <si>
    <t>健體</t>
    <phoneticPr fontId="3" type="noConversion"/>
  </si>
  <si>
    <t>綜合</t>
    <phoneticPr fontId="3" type="noConversion"/>
  </si>
  <si>
    <t>藝術</t>
    <phoneticPr fontId="3" type="noConversion"/>
  </si>
  <si>
    <t>科技</t>
    <phoneticPr fontId="3" type="noConversion"/>
  </si>
  <si>
    <t>課本</t>
    <phoneticPr fontId="3" type="noConversion"/>
  </si>
  <si>
    <t>習作</t>
    <phoneticPr fontId="3" type="noConversion"/>
  </si>
  <si>
    <t>課本1</t>
    <phoneticPr fontId="3" type="noConversion"/>
  </si>
  <si>
    <t>習作1</t>
    <phoneticPr fontId="3" type="noConversion"/>
  </si>
  <si>
    <t>課本2</t>
    <phoneticPr fontId="3" type="noConversion"/>
  </si>
  <si>
    <t>習作2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</si>
  <si>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</si>
  <si>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</si>
  <si>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</si>
  <si>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補助對象：本縣公立國民中小學之學生。</t>
    <phoneticPr fontId="3" type="noConversion"/>
  </si>
  <si>
    <t>補助版本：經教育部採購議價通過之審定本及藝能科教科書。</t>
    <phoneticPr fontId="3" type="noConversion"/>
  </si>
  <si>
    <t>2.統計表正本及原始憑證留校備查。</t>
    <phoneticPr fontId="3" type="noConversion"/>
  </si>
  <si>
    <t>承辦人：</t>
    <phoneticPr fontId="3" type="noConversion"/>
  </si>
  <si>
    <t>教務(導)主任：</t>
    <phoneticPr fontId="3" type="noConversion"/>
  </si>
  <si>
    <t>會計人員：</t>
    <phoneticPr fontId="3" type="noConversion"/>
  </si>
  <si>
    <t>校長：</t>
    <phoneticPr fontId="3" type="noConversion"/>
  </si>
  <si>
    <t>花東書籍費
補助金額</t>
    <phoneticPr fontId="3" type="noConversion"/>
  </si>
  <si>
    <t>三、審定本</t>
    <phoneticPr fontId="3" type="noConversion"/>
  </si>
  <si>
    <t>項目</t>
    <phoneticPr fontId="3" type="noConversion"/>
  </si>
  <si>
    <t>花東補助學生
男</t>
    <phoneticPr fontId="25" type="noConversion"/>
  </si>
  <si>
    <t>花東補助學生
女</t>
    <phoneticPr fontId="25" type="noConversion"/>
  </si>
  <si>
    <t>四、藝能科(列入花東書籍費)</t>
    <phoneticPr fontId="3" type="noConversion"/>
  </si>
  <si>
    <t>審定本教科書補助合計(A)</t>
    <phoneticPr fontId="3" type="noConversion"/>
  </si>
  <si>
    <t>藝能科教科書補助合計(C)</t>
    <phoneticPr fontId="3" type="noConversion"/>
  </si>
  <si>
    <t>縣補助總計(A+B+C)</t>
    <phoneticPr fontId="3" type="noConversion"/>
  </si>
  <si>
    <t>每人補助金額(a)</t>
    <phoneticPr fontId="3" type="noConversion"/>
  </si>
  <si>
    <t>(a)*年級審定本補助人數</t>
    <phoneticPr fontId="3" type="noConversion"/>
  </si>
  <si>
    <t>(a)*年級低收中低收人數</t>
    <phoneticPr fontId="3" type="noConversion"/>
  </si>
  <si>
    <r>
      <t>特教生/補校生使用一般版本教科書補助金額</t>
    </r>
    <r>
      <rPr>
        <sz val="12"/>
        <color indexed="8"/>
        <rFont val="標楷體"/>
        <family val="4"/>
        <charset val="136"/>
      </rPr>
      <t>(B)</t>
    </r>
    <phoneticPr fontId="3" type="noConversion"/>
  </si>
  <si>
    <r>
      <t xml:space="preserve">縣補助
</t>
    </r>
    <r>
      <rPr>
        <sz val="12"/>
        <color indexed="8"/>
        <rFont val="標楷體"/>
        <family val="4"/>
        <charset val="136"/>
      </rPr>
      <t>金額小計</t>
    </r>
    <phoneticPr fontId="3" type="noConversion"/>
  </si>
  <si>
    <t>※黃色及粉紅色欄位請務必填寫。</t>
    <phoneticPr fontId="3" type="noConversion"/>
  </si>
  <si>
    <t>※花東補助學生身分別資料連結至花東B表資料，請務必填妥花東B表。</t>
    <phoneticPr fontId="3" type="noConversion"/>
  </si>
  <si>
    <t>三+四</t>
    <phoneticPr fontId="3" type="noConversion"/>
  </si>
  <si>
    <t>每人補助金額</t>
    <phoneticPr fontId="3" type="noConversion"/>
  </si>
  <si>
    <t>審定本學生用書分攤小計</t>
    <phoneticPr fontId="3" type="noConversion"/>
  </si>
  <si>
    <t>合計</t>
    <phoneticPr fontId="3" type="noConversion"/>
  </si>
  <si>
    <t>低收入戶及中低收入戶人數</t>
    <phoneticPr fontId="25" type="noConversion"/>
  </si>
  <si>
    <t xml:space="preserve">       科目
 年級</t>
    <phoneticPr fontId="3" type="noConversion"/>
  </si>
  <si>
    <t>版本</t>
    <phoneticPr fontId="3" type="noConversion"/>
  </si>
  <si>
    <t>金額</t>
    <phoneticPr fontId="3" type="noConversion"/>
  </si>
  <si>
    <t xml:space="preserve">       科目
 年級</t>
    <phoneticPr fontId="3" type="noConversion"/>
  </si>
  <si>
    <t>金額</t>
    <phoneticPr fontId="3" type="noConversion"/>
  </si>
  <si>
    <t>需求(本)</t>
    <phoneticPr fontId="3" type="noConversion"/>
  </si>
  <si>
    <t>補助(本)</t>
    <phoneticPr fontId="3" type="noConversion"/>
  </si>
  <si>
    <t>補助金額</t>
    <phoneticPr fontId="3" type="noConversion"/>
  </si>
  <si>
    <t>學校用書(教師用及行政留存)</t>
    <phoneticPr fontId="3" type="noConversion"/>
  </si>
  <si>
    <t>單本價格</t>
    <phoneticPr fontId="3" type="noConversion"/>
  </si>
  <si>
    <t>→→→</t>
    <phoneticPr fontId="3" type="noConversion"/>
  </si>
  <si>
    <t>八年級</t>
    <phoneticPr fontId="3" type="noConversion"/>
  </si>
  <si>
    <t>九年級</t>
    <phoneticPr fontId="3" type="noConversion"/>
  </si>
  <si>
    <t>七年級</t>
    <phoneticPr fontId="3" type="noConversion"/>
  </si>
  <si>
    <r>
      <rPr>
        <b/>
        <sz val="10"/>
        <rFont val="標楷體"/>
        <family val="4"/>
        <charset val="136"/>
      </rPr>
      <t>學校用書</t>
    </r>
    <r>
      <rPr>
        <sz val="10"/>
        <rFont val="標楷體"/>
        <family val="4"/>
        <charset val="136"/>
      </rPr>
      <t>補助(本)</t>
    </r>
    <phoneticPr fontId="3" type="noConversion"/>
  </si>
  <si>
    <r>
      <t>年級</t>
    </r>
    <r>
      <rPr>
        <b/>
        <sz val="10"/>
        <rFont val="標楷體"/>
        <family val="4"/>
        <charset val="136"/>
      </rPr>
      <t>學校用書</t>
    </r>
    <r>
      <rPr>
        <sz val="10"/>
        <rFont val="標楷體"/>
        <family val="4"/>
        <charset val="136"/>
      </rPr>
      <t>金額合計</t>
    </r>
    <phoneticPr fontId="3" type="noConversion"/>
  </si>
  <si>
    <t>各版本金額(免印)</t>
    <phoneticPr fontId="3" type="noConversion"/>
  </si>
  <si>
    <t>康軒</t>
    <phoneticPr fontId="3" type="noConversion"/>
  </si>
  <si>
    <t>翰林</t>
    <phoneticPr fontId="3" type="noConversion"/>
  </si>
  <si>
    <t>南一</t>
    <phoneticPr fontId="3" type="noConversion"/>
  </si>
  <si>
    <t>縣補助</t>
    <phoneticPr fontId="3" type="noConversion"/>
  </si>
  <si>
    <t>花東</t>
    <phoneticPr fontId="3" type="noConversion"/>
  </si>
  <si>
    <t>合計</t>
    <phoneticPr fontId="3" type="noConversion"/>
  </si>
  <si>
    <t>總計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</si>
  <si>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</si>
  <si>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</si>
  <si>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</si>
  <si>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奇鼎</t>
    <phoneticPr fontId="3" type="noConversion"/>
  </si>
  <si>
    <t>全華</t>
    <phoneticPr fontId="3" type="noConversion"/>
  </si>
  <si>
    <t>佳音</t>
    <phoneticPr fontId="3" type="noConversion"/>
  </si>
  <si>
    <t>學校用書</t>
    <phoneticPr fontId="3" type="noConversion"/>
  </si>
  <si>
    <t>學生用書</t>
    <phoneticPr fontId="3" type="noConversion"/>
  </si>
  <si>
    <t>翰林</t>
    <phoneticPr fontId="3" type="noConversion"/>
  </si>
  <si>
    <t>南一</t>
    <phoneticPr fontId="3" type="noConversion"/>
  </si>
  <si>
    <t>年級學生用書合計</t>
    <phoneticPr fontId="3" type="noConversion"/>
  </si>
  <si>
    <t>一、基本資料</t>
    <phoneticPr fontId="25" type="noConversion"/>
  </si>
  <si>
    <t>學校名稱</t>
    <phoneticPr fontId="25" type="noConversion"/>
  </si>
  <si>
    <t>花東書籍費補助基本資料</t>
    <phoneticPr fontId="25" type="noConversion"/>
  </si>
  <si>
    <t>花東補助學生身分別資料</t>
    <phoneticPr fontId="25" type="noConversion"/>
  </si>
  <si>
    <t>年級</t>
    <phoneticPr fontId="25" type="noConversion"/>
  </si>
  <si>
    <t>七年級</t>
    <phoneticPr fontId="25" type="noConversion"/>
  </si>
  <si>
    <t>八年級</t>
    <phoneticPr fontId="25" type="noConversion"/>
  </si>
  <si>
    <t>九年級</t>
    <phoneticPr fontId="25" type="noConversion"/>
  </si>
  <si>
    <t>合計</t>
    <phoneticPr fontId="25" type="noConversion"/>
  </si>
  <si>
    <t>全校班級數</t>
    <phoneticPr fontId="3" type="noConversion"/>
  </si>
  <si>
    <t>低收入戶</t>
    <phoneticPr fontId="25" type="noConversion"/>
  </si>
  <si>
    <t>中低收入戶</t>
    <phoneticPr fontId="25" type="noConversion"/>
  </si>
  <si>
    <t>合計(人)</t>
    <phoneticPr fontId="25" type="noConversion"/>
  </si>
  <si>
    <t>年級人數</t>
    <phoneticPr fontId="25" type="noConversion"/>
  </si>
  <si>
    <t>三、審定本</t>
    <phoneticPr fontId="3" type="noConversion"/>
  </si>
  <si>
    <t>國文</t>
    <phoneticPr fontId="3" type="noConversion"/>
  </si>
  <si>
    <t>數學</t>
    <phoneticPr fontId="3" type="noConversion"/>
  </si>
  <si>
    <t>英語</t>
    <phoneticPr fontId="3" type="noConversion"/>
  </si>
  <si>
    <t>每人補助金額</t>
    <phoneticPr fontId="3" type="noConversion"/>
  </si>
  <si>
    <t>課本</t>
    <phoneticPr fontId="3" type="noConversion"/>
  </si>
  <si>
    <t>習作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</si>
  <si>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</si>
  <si>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</si>
  <si>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</si>
  <si>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合計</t>
    <phoneticPr fontId="3" type="noConversion"/>
  </si>
  <si>
    <t>四、藝能科(未列入花東書籍費)</t>
    <phoneticPr fontId="25" type="noConversion"/>
  </si>
  <si>
    <t>健體</t>
    <phoneticPr fontId="3" type="noConversion"/>
  </si>
  <si>
    <t>綜合</t>
    <phoneticPr fontId="3" type="noConversion"/>
  </si>
  <si>
    <t>藝術</t>
    <phoneticPr fontId="3" type="noConversion"/>
  </si>
  <si>
    <t>科技1</t>
    <phoneticPr fontId="3" type="noConversion"/>
  </si>
  <si>
    <t>藝能科
補助合計</t>
    <phoneticPr fontId="3" type="noConversion"/>
  </si>
  <si>
    <t>補助對象：本縣公立國民中小學之學生。</t>
    <phoneticPr fontId="3" type="noConversion"/>
  </si>
  <si>
    <t>補助版本：經教育部採購議價通過之審定本及藝能科教科書(如單價表)。</t>
    <phoneticPr fontId="3" type="noConversion"/>
  </si>
  <si>
    <t>3.本統計表各版本單價已預先扣除教育部補助公立學校學生用書金額。</t>
  </si>
  <si>
    <t>承辦人：</t>
    <phoneticPr fontId="3" type="noConversion"/>
  </si>
  <si>
    <t>會計人員：</t>
    <phoneticPr fontId="3" type="noConversion"/>
  </si>
  <si>
    <r>
      <rPr>
        <b/>
        <sz val="11"/>
        <color theme="1"/>
        <rFont val="標楷體"/>
        <family val="4"/>
        <charset val="136"/>
      </rPr>
      <t>花東書籍費</t>
    </r>
    <r>
      <rPr>
        <sz val="12"/>
        <color theme="1"/>
        <rFont val="標楷體"/>
        <family val="4"/>
        <charset val="136"/>
      </rPr>
      <t xml:space="preserve">
補助小計</t>
    </r>
    <phoneticPr fontId="3" type="noConversion"/>
  </si>
  <si>
    <t>版本</t>
    <phoneticPr fontId="3" type="noConversion"/>
  </si>
  <si>
    <t>金額</t>
    <phoneticPr fontId="3" type="noConversion"/>
  </si>
  <si>
    <t>需求數</t>
    <phoneticPr fontId="3" type="noConversion"/>
  </si>
  <si>
    <t>小計</t>
    <phoneticPr fontId="3" type="noConversion"/>
  </si>
  <si>
    <t>八年級</t>
    <phoneticPr fontId="3" type="noConversion"/>
  </si>
  <si>
    <t>九年級</t>
    <phoneticPr fontId="3" type="noConversion"/>
  </si>
  <si>
    <t xml:space="preserve">            科目
 年級</t>
    <phoneticPr fontId="3" type="noConversion"/>
  </si>
  <si>
    <t>　          科目
 年級</t>
    <phoneticPr fontId="3" type="noConversion"/>
  </si>
  <si>
    <t>科技2</t>
  </si>
  <si>
    <r>
      <t>※本表適用</t>
    </r>
    <r>
      <rPr>
        <sz val="22"/>
        <color rgb="FFFF0000"/>
        <rFont val="新細明體"/>
        <family val="1"/>
        <charset val="136"/>
      </rPr>
      <t>藝能科全數汰換</t>
    </r>
    <r>
      <rPr>
        <sz val="22"/>
        <color theme="1"/>
        <rFont val="新細明體"/>
        <family val="1"/>
        <charset val="136"/>
      </rPr>
      <t>學校</t>
    </r>
    <phoneticPr fontId="3" type="noConversion"/>
  </si>
  <si>
    <r>
      <t>※本表適用</t>
    </r>
    <r>
      <rPr>
        <sz val="22"/>
        <color rgb="FFFF0000"/>
        <rFont val="新細明體"/>
        <family val="1"/>
        <charset val="136"/>
      </rPr>
      <t>藝能科汰換年度相反</t>
    </r>
    <r>
      <rPr>
        <sz val="22"/>
        <color theme="1"/>
        <rFont val="新細明體"/>
        <family val="1"/>
        <charset val="136"/>
      </rPr>
      <t>學校</t>
    </r>
    <phoneticPr fontId="3" type="noConversion"/>
  </si>
  <si>
    <r>
      <t>二、花東</t>
    </r>
    <r>
      <rPr>
        <b/>
        <sz val="12"/>
        <color rgb="FFFF0000"/>
        <rFont val="新細明體"/>
        <family val="1"/>
        <charset val="136"/>
      </rPr>
      <t>A表</t>
    </r>
    <phoneticPr fontId="25" type="noConversion"/>
  </si>
  <si>
    <r>
      <rPr>
        <b/>
        <sz val="13"/>
        <rFont val="標楷體"/>
        <family val="4"/>
        <charset val="136"/>
      </rPr>
      <t>審定本</t>
    </r>
    <r>
      <rPr>
        <sz val="13"/>
        <rFont val="標楷體"/>
        <family val="4"/>
        <charset val="136"/>
      </rPr>
      <t>補助總計</t>
    </r>
    <r>
      <rPr>
        <b/>
        <sz val="13"/>
        <color rgb="FF0000FF"/>
        <rFont val="標楷體"/>
        <family val="4"/>
        <charset val="136"/>
      </rPr>
      <t>(A)</t>
    </r>
    <phoneticPr fontId="3" type="noConversion"/>
  </si>
  <si>
    <r>
      <rPr>
        <b/>
        <sz val="13"/>
        <rFont val="標楷體"/>
        <family val="4"/>
        <charset val="136"/>
      </rPr>
      <t>藝能科</t>
    </r>
    <r>
      <rPr>
        <sz val="13"/>
        <rFont val="標楷體"/>
        <family val="4"/>
        <charset val="136"/>
      </rPr>
      <t>補助合計總和</t>
    </r>
    <r>
      <rPr>
        <b/>
        <sz val="13"/>
        <color rgb="FF0000FF"/>
        <rFont val="標楷體"/>
        <family val="4"/>
        <charset val="136"/>
      </rPr>
      <t>(C)</t>
    </r>
    <phoneticPr fontId="3" type="noConversion"/>
  </si>
  <si>
    <r>
      <t xml:space="preserve">縣補助
總計
</t>
    </r>
    <r>
      <rPr>
        <b/>
        <sz val="13"/>
        <color rgb="FF0000FF"/>
        <rFont val="標楷體"/>
        <family val="4"/>
        <charset val="136"/>
      </rPr>
      <t>(A)+(B)+(C)</t>
    </r>
    <phoneticPr fontId="3" type="noConversion"/>
  </si>
  <si>
    <r>
      <rPr>
        <sz val="13"/>
        <color rgb="FF0000FF"/>
        <rFont val="標楷體"/>
        <family val="4"/>
        <charset val="136"/>
      </rPr>
      <t>特教生/補校生</t>
    </r>
    <r>
      <rPr>
        <sz val="13"/>
        <rFont val="標楷體"/>
        <family val="4"/>
        <charset val="136"/>
      </rPr>
      <t>使用審定本教科書補助金額</t>
    </r>
    <r>
      <rPr>
        <b/>
        <sz val="13"/>
        <color rgb="FF0000FF"/>
        <rFont val="標楷體"/>
        <family val="4"/>
        <charset val="136"/>
      </rPr>
      <t>(B)</t>
    </r>
    <phoneticPr fontId="3" type="noConversion"/>
  </si>
  <si>
    <r>
      <t>審定本補助小計</t>
    </r>
    <r>
      <rPr>
        <b/>
        <sz val="12"/>
        <color rgb="FF0000FF"/>
        <rFont val="標楷體"/>
        <family val="4"/>
        <charset val="136"/>
      </rPr>
      <t>(A)</t>
    </r>
    <phoneticPr fontId="3" type="noConversion"/>
  </si>
  <si>
    <t>審定本</t>
    <phoneticPr fontId="3" type="noConversion"/>
  </si>
  <si>
    <t>藝能科</t>
    <phoneticPr fontId="3" type="noConversion"/>
  </si>
  <si>
    <t>翰林</t>
    <phoneticPr fontId="3" type="noConversion"/>
  </si>
  <si>
    <t>南一</t>
    <phoneticPr fontId="3" type="noConversion"/>
  </si>
  <si>
    <t>奇鼎</t>
    <phoneticPr fontId="3" type="noConversion"/>
  </si>
  <si>
    <t>全華</t>
    <phoneticPr fontId="3" type="noConversion"/>
  </si>
  <si>
    <t>學生用書(本項經費由板橋國小統一撥予書商)</t>
  </si>
  <si>
    <t>學生用書(本項經費由板橋國小統一撥予書商)</t>
    <phoneticPr fontId="3" type="noConversion"/>
  </si>
  <si>
    <t>藝能科學生用書補助總計</t>
    <phoneticPr fontId="3" type="noConversion"/>
  </si>
  <si>
    <t>審定本學生用書分攤總計</t>
    <phoneticPr fontId="3" type="noConversion"/>
  </si>
  <si>
    <t>學生用書總計</t>
    <phoneticPr fontId="3" type="noConversion"/>
  </si>
  <si>
    <t>花東書籍費學生用書補助總計</t>
    <phoneticPr fontId="3" type="noConversion"/>
  </si>
  <si>
    <t>適用
年級</t>
  </si>
  <si>
    <t>單本
價格</t>
  </si>
  <si>
    <r>
      <t>1.學校用書及學生用書請至教科圖書共同供應服務網填報，本表僅供參考(無強制填寫)，金額以教科圖書共同供應服務網為準。
2.使用本表請於粉紅色欄位填</t>
    </r>
    <r>
      <rPr>
        <b/>
        <sz val="14"/>
        <color rgb="FF0000FF"/>
        <rFont val="標楷體"/>
        <family val="4"/>
        <charset val="136"/>
      </rPr>
      <t>「需求(本)」</t>
    </r>
    <r>
      <rPr>
        <sz val="14"/>
        <rFont val="標楷體"/>
        <family val="4"/>
        <charset val="136"/>
      </rPr>
      <t>及教科圖書共同供應服務網顯示的</t>
    </r>
    <r>
      <rPr>
        <b/>
        <sz val="14"/>
        <color rgb="FF0000FF"/>
        <rFont val="標楷體"/>
        <family val="4"/>
        <charset val="136"/>
      </rPr>
      <t>「樣書(本)」</t>
    </r>
    <r>
      <rPr>
        <sz val="14"/>
        <rFont val="標楷體"/>
        <family val="4"/>
        <charset val="136"/>
      </rPr>
      <t>。</t>
    </r>
    <phoneticPr fontId="3" type="noConversion"/>
  </si>
  <si>
    <t>樣書(本)</t>
    <phoneticPr fontId="3" type="noConversion"/>
  </si>
  <si>
    <r>
      <t>※補助數量計算方式為</t>
    </r>
    <r>
      <rPr>
        <b/>
        <sz val="12"/>
        <color rgb="FFFF0000"/>
        <rFont val="標楷體"/>
        <family val="4"/>
        <charset val="136"/>
      </rPr>
      <t>「需求數量-樣書數量=補助數量」</t>
    </r>
    <r>
      <rPr>
        <sz val="12"/>
        <color theme="1"/>
        <rFont val="標楷體"/>
        <family val="4"/>
        <charset val="136"/>
      </rPr>
      <t>，樣書數量為國教署與出版商契約訂定，正確數量仍請依系統為準。</t>
    </r>
    <phoneticPr fontId="3" type="noConversion"/>
  </si>
  <si>
    <r>
      <t>花蓮縣</t>
    </r>
    <r>
      <rPr>
        <sz val="18"/>
        <color rgb="FF0000FF"/>
        <rFont val="新細明體"/>
        <family val="1"/>
        <charset val="136"/>
      </rPr>
      <t>○○○學年度第○學期</t>
    </r>
    <r>
      <rPr>
        <sz val="18"/>
        <color theme="1"/>
        <rFont val="新細明體"/>
        <family val="1"/>
        <charset val="136"/>
      </rPr>
      <t>公立國民中學教科書(縣補助及花東書籍費)補助金額統計表</t>
    </r>
    <phoneticPr fontId="3" type="noConversion"/>
  </si>
  <si>
    <r>
      <t>1.請將本表列印核章後，於</t>
    </r>
    <r>
      <rPr>
        <sz val="12"/>
        <color rgb="FF0000FF"/>
        <rFont val="標楷體"/>
        <family val="4"/>
        <charset val="136"/>
      </rPr>
      <t>○○○年○月○○日(星期五)</t>
    </r>
    <r>
      <rPr>
        <sz val="12"/>
        <color theme="1"/>
        <rFont val="標楷體"/>
        <family val="4"/>
        <charset val="136"/>
      </rPr>
      <t>前，掃描上傳至校務系統。</t>
    </r>
    <phoneticPr fontId="3" type="noConversion"/>
  </si>
  <si>
    <r>
      <t>花蓮縣</t>
    </r>
    <r>
      <rPr>
        <sz val="18"/>
        <color rgb="FF0000FF"/>
        <rFont val="新細明體"/>
        <family val="1"/>
        <charset val="136"/>
      </rPr>
      <t>113學年度第1學期</t>
    </r>
    <r>
      <rPr>
        <sz val="18"/>
        <color theme="1"/>
        <rFont val="新細明體"/>
        <family val="1"/>
        <charset val="136"/>
      </rPr>
      <t>公立國民中學教科書(縣補助及花東書籍費)補助金額統計表</t>
    </r>
    <phoneticPr fontId="3" type="noConversion"/>
  </si>
  <si>
    <t>113學年度第1學期補助「花東地區接受義務教育學生書籍費」</t>
    <phoneticPr fontId="3" type="noConversion"/>
  </si>
  <si>
    <t>113學年度第1學期教科圖書價格表(國中)</t>
    <phoneticPr fontId="3" type="noConversion"/>
  </si>
  <si>
    <t>-</t>
  </si>
  <si>
    <t>花蓮縣立鳳林國民中學</t>
    <phoneticPr fontId="3" type="noConversion"/>
  </si>
  <si>
    <t>校長：</t>
    <phoneticPr fontId="3" type="noConversion"/>
  </si>
  <si>
    <t>藝能科
補助合計</t>
    <phoneticPr fontId="3" type="noConversion"/>
  </si>
  <si>
    <r>
      <t>1.請將本表列印核章後，於</t>
    </r>
    <r>
      <rPr>
        <sz val="12"/>
        <color rgb="FF0000FF"/>
        <rFont val="標楷體"/>
        <family val="4"/>
        <charset val="136"/>
      </rPr>
      <t>113年9月13日(星期五)</t>
    </r>
    <r>
      <rPr>
        <sz val="12"/>
        <color theme="1"/>
        <rFont val="標楷體"/>
        <family val="4"/>
        <charset val="136"/>
      </rPr>
      <t>前，掃描上傳至校務系統(可編輯電子檔也需要)。</t>
    </r>
    <phoneticPr fontId="3" type="noConversion"/>
  </si>
  <si>
    <t>四、藝能科(未列入花東書籍費)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</si>
</sst>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_ "/>
    <numFmt numFmtId="178" formatCode="0_);[Red]\(0\)"/>
  </numFmts>
  <fonts count="86" x14ac:knownFonts="1">
    <font>
      <sz val="1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b/>
      <sz val="12"/>
      <name val="微軟正黑體"/>
      <family val="2"/>
      <charset val="136"/>
    </font>
    <font>
      <sz val="12"/>
      <color indexed="10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color indexed="10"/>
      <name val="新細明體"/>
      <family val="1"/>
      <charset val="136"/>
    </font>
    <font>
      <sz val="20"/>
      <name val="標楷體"/>
      <family val="4"/>
      <charset val="136"/>
    </font>
    <font>
      <sz val="20"/>
      <color indexed="10"/>
      <name val="標楷體"/>
      <family val="4"/>
      <charset val="136"/>
    </font>
    <font>
      <sz val="16"/>
      <name val="新細明體"/>
      <family val="1"/>
      <charset val="136"/>
    </font>
    <font>
      <sz val="11"/>
      <name val="新細明體"/>
      <family val="1"/>
      <charset val="136"/>
    </font>
    <font>
      <sz val="11"/>
      <name val="新細明體"/>
      <family val="1"/>
      <charset val="136"/>
      <scheme val="major"/>
    </font>
    <font>
      <sz val="10"/>
      <color rgb="FF000000"/>
      <name val="Times New Roman"/>
      <family val="1"/>
    </font>
    <font>
      <b/>
      <sz val="10"/>
      <name val="新細明體"/>
      <family val="1"/>
      <charset val="136"/>
    </font>
    <font>
      <sz val="9"/>
      <color indexed="81"/>
      <name val="Tahoma"/>
      <family val="2"/>
    </font>
    <font>
      <sz val="9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11.5"/>
      <name val="標楷體"/>
      <family val="4"/>
    </font>
    <font>
      <sz val="11.5"/>
      <name val="標楷體"/>
      <family val="4"/>
      <charset val="136"/>
    </font>
    <font>
      <sz val="11.5"/>
      <color rgb="FF000000"/>
      <name val="標楷體"/>
      <family val="2"/>
    </font>
    <font>
      <sz val="10"/>
      <color rgb="FF000000"/>
      <name val="標楷體"/>
      <family val="4"/>
      <charset val="136"/>
    </font>
    <font>
      <b/>
      <sz val="20"/>
      <color indexed="81"/>
      <name val="細明體"/>
      <family val="3"/>
      <charset val="136"/>
    </font>
    <font>
      <b/>
      <sz val="20"/>
      <color indexed="81"/>
      <name val="Tahoma"/>
      <family val="2"/>
    </font>
    <font>
      <b/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6"/>
      <color indexed="10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4"/>
      <name val="新細明體"/>
      <family val="1"/>
      <charset val="136"/>
    </font>
    <font>
      <b/>
      <sz val="16"/>
      <color indexed="81"/>
      <name val="細明體"/>
      <family val="3"/>
      <charset val="136"/>
    </font>
    <font>
      <b/>
      <sz val="10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6"/>
      <color rgb="FF0033CC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33CC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8"/>
      <name val="新細明體"/>
      <family val="1"/>
      <charset val="136"/>
    </font>
    <font>
      <sz val="12"/>
      <color rgb="FF0000FF"/>
      <name val="標楷體"/>
      <family val="4"/>
      <charset val="136"/>
    </font>
    <font>
      <b/>
      <sz val="11"/>
      <color rgb="FF0000FF"/>
      <name val="新細明體"/>
      <family val="1"/>
      <charset val="136"/>
    </font>
    <font>
      <b/>
      <sz val="11"/>
      <name val="標楷體"/>
      <family val="4"/>
      <charset val="136"/>
    </font>
    <font>
      <b/>
      <sz val="14"/>
      <color rgb="FF0000FF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0"/>
      <color theme="1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color rgb="FF0000FF"/>
      <name val="新細明體"/>
      <family val="1"/>
      <charset val="136"/>
    </font>
    <font>
      <b/>
      <sz val="11"/>
      <color theme="1"/>
      <name val="標楷體"/>
      <family val="4"/>
      <charset val="136"/>
    </font>
    <font>
      <b/>
      <sz val="9"/>
      <color indexed="81"/>
      <name val="細明體"/>
      <family val="3"/>
      <charset val="136"/>
    </font>
    <font>
      <b/>
      <sz val="18"/>
      <color indexed="81"/>
      <name val="細明體"/>
      <family val="3"/>
      <charset val="136"/>
    </font>
    <font>
      <b/>
      <sz val="14"/>
      <color rgb="FF0033CC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26"/>
      <color theme="1"/>
      <name val="標楷體"/>
      <family val="4"/>
      <charset val="136"/>
    </font>
    <font>
      <sz val="22"/>
      <color theme="1"/>
      <name val="新細明體"/>
      <family val="1"/>
      <charset val="136"/>
    </font>
    <font>
      <sz val="22"/>
      <color rgb="FFFF0000"/>
      <name val="新細明體"/>
      <family val="1"/>
      <charset val="136"/>
    </font>
    <font>
      <sz val="18"/>
      <color theme="1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sz val="14"/>
      <color rgb="FF0000FF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3"/>
      <name val="標楷體"/>
      <family val="4"/>
      <charset val="136"/>
    </font>
    <font>
      <sz val="13"/>
      <color rgb="FF0000FF"/>
      <name val="標楷體"/>
      <family val="4"/>
      <charset val="136"/>
    </font>
    <font>
      <b/>
      <sz val="13"/>
      <color rgb="FF0000FF"/>
      <name val="標楷體"/>
      <family val="4"/>
      <charset val="136"/>
    </font>
    <font>
      <b/>
      <sz val="13"/>
      <name val="標楷體"/>
      <family val="4"/>
      <charset val="136"/>
    </font>
    <font>
      <sz val="18"/>
      <color rgb="FF0000FF"/>
      <name val="新細明體"/>
      <family val="1"/>
      <charset val="136"/>
    </font>
    <font>
      <sz val="11"/>
      <name val="標楷體"/>
      <family val="4"/>
      <charset val="136"/>
    </font>
    <font>
      <sz val="11"/>
      <color rgb="FF000000"/>
      <name val="標楷體"/>
      <family val="4"/>
      <charset val="136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E4E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0" borderId="0"/>
    <xf numFmtId="0" fontId="2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554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0" xfId="0" applyFont="1"/>
    <xf numFmtId="0" fontId="8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5" fillId="0" borderId="0" xfId="1" applyProtection="1">
      <protection locked="0"/>
    </xf>
    <xf numFmtId="0" fontId="6" fillId="0" borderId="0" xfId="1" applyFont="1" applyProtection="1">
      <protection locked="0"/>
    </xf>
    <xf numFmtId="0" fontId="19" fillId="0" borderId="0" xfId="1" applyFont="1" applyProtection="1">
      <protection locked="0"/>
    </xf>
    <xf numFmtId="0" fontId="20" fillId="0" borderId="0" xfId="1" applyFont="1" applyProtection="1"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/>
      <protection locked="0"/>
    </xf>
    <xf numFmtId="0" fontId="16" fillId="0" borderId="0" xfId="1" applyFont="1" applyProtection="1">
      <protection locked="0"/>
    </xf>
    <xf numFmtId="0" fontId="21" fillId="0" borderId="0" xfId="1" applyFont="1" applyProtection="1">
      <protection locked="0"/>
    </xf>
    <xf numFmtId="0" fontId="22" fillId="0" borderId="0" xfId="4" applyAlignment="1">
      <alignment horizontal="left" vertical="top"/>
    </xf>
    <xf numFmtId="0" fontId="22" fillId="0" borderId="0" xfId="4" applyAlignment="1">
      <alignment vertical="top" wrapText="1"/>
    </xf>
    <xf numFmtId="0" fontId="23" fillId="0" borderId="0" xfId="0" applyFont="1" applyAlignment="1">
      <alignment horizontal="center"/>
    </xf>
    <xf numFmtId="0" fontId="35" fillId="0" borderId="0" xfId="4" applyFont="1" applyAlignment="1">
      <alignment horizontal="center" vertical="center"/>
    </xf>
    <xf numFmtId="0" fontId="33" fillId="0" borderId="24" xfId="0" applyFont="1" applyBorder="1" applyAlignment="1">
      <alignment horizontal="center" vertical="center" wrapText="1"/>
    </xf>
    <xf numFmtId="1" fontId="34" fillId="0" borderId="24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178" fontId="7" fillId="0" borderId="2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/>
    </xf>
    <xf numFmtId="0" fontId="14" fillId="0" borderId="0" xfId="1" applyFont="1" applyAlignment="1" applyProtection="1">
      <alignment vertical="center"/>
      <protection locked="0"/>
    </xf>
    <xf numFmtId="0" fontId="38" fillId="8" borderId="17" xfId="1" applyFont="1" applyFill="1" applyBorder="1" applyAlignment="1" applyProtection="1">
      <alignment horizontal="center" vertical="center" wrapText="1"/>
      <protection locked="0"/>
    </xf>
    <xf numFmtId="0" fontId="8" fillId="8" borderId="17" xfId="1" applyFont="1" applyFill="1" applyBorder="1" applyAlignment="1" applyProtection="1">
      <alignment horizontal="center" vertical="center" wrapText="1"/>
      <protection locked="0"/>
    </xf>
    <xf numFmtId="0" fontId="39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Border="1" applyAlignment="1" applyProtection="1">
      <alignment horizontal="center" vertical="center" wrapText="1"/>
      <protection locked="0"/>
    </xf>
    <xf numFmtId="0" fontId="27" fillId="0" borderId="1" xfId="1" applyFont="1" applyBorder="1" applyAlignment="1" applyProtection="1">
      <alignment horizontal="center" vertical="center" wrapText="1"/>
      <protection locked="0"/>
    </xf>
    <xf numFmtId="0" fontId="8" fillId="8" borderId="1" xfId="1" applyFont="1" applyFill="1" applyBorder="1" applyAlignment="1">
      <alignment horizontal="center" vertical="center" wrapText="1"/>
    </xf>
    <xf numFmtId="0" fontId="40" fillId="0" borderId="0" xfId="1" applyFont="1" applyAlignment="1" applyProtection="1">
      <alignment horizontal="left" vertical="center"/>
      <protection locked="0"/>
    </xf>
    <xf numFmtId="0" fontId="5" fillId="0" borderId="1" xfId="1" applyBorder="1" applyAlignment="1" applyProtection="1">
      <alignment horizontal="center" vertical="center"/>
      <protection locked="0"/>
    </xf>
    <xf numFmtId="0" fontId="5" fillId="0" borderId="0" xfId="1" applyAlignment="1" applyProtection="1">
      <alignment horizontal="center" vertical="center"/>
      <protection locked="0"/>
    </xf>
    <xf numFmtId="0" fontId="29" fillId="0" borderId="14" xfId="5" applyFont="1" applyBorder="1" applyAlignment="1" applyProtection="1">
      <alignment horizontal="center" vertical="center"/>
      <protection locked="0"/>
    </xf>
    <xf numFmtId="0" fontId="30" fillId="0" borderId="14" xfId="5" applyFont="1" applyBorder="1" applyAlignment="1" applyProtection="1">
      <alignment horizontal="center" vertical="center"/>
      <protection locked="0"/>
    </xf>
    <xf numFmtId="0" fontId="30" fillId="0" borderId="11" xfId="5" applyFont="1" applyBorder="1" applyAlignment="1" applyProtection="1">
      <alignment horizontal="center" vertical="center"/>
      <protection locked="0"/>
    </xf>
    <xf numFmtId="0" fontId="33" fillId="9" borderId="24" xfId="0" applyFont="1" applyFill="1" applyBorder="1" applyAlignment="1">
      <alignment horizontal="center" vertical="center" wrapText="1"/>
    </xf>
    <xf numFmtId="0" fontId="42" fillId="0" borderId="4" xfId="6" applyFont="1" applyBorder="1" applyAlignment="1" applyProtection="1">
      <alignment horizontal="center" vertical="center"/>
      <protection locked="0"/>
    </xf>
    <xf numFmtId="0" fontId="51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0" fontId="51" fillId="9" borderId="1" xfId="0" applyFont="1" applyFill="1" applyBorder="1" applyAlignment="1" applyProtection="1">
      <alignment horizontal="center" vertical="center"/>
      <protection locked="0"/>
    </xf>
    <xf numFmtId="0" fontId="51" fillId="9" borderId="14" xfId="0" applyFont="1" applyFill="1" applyBorder="1" applyAlignment="1" applyProtection="1">
      <alignment horizontal="center" vertical="center"/>
      <protection locked="0"/>
    </xf>
    <xf numFmtId="0" fontId="51" fillId="0" borderId="13" xfId="0" applyFont="1" applyBorder="1" applyAlignment="1" applyProtection="1">
      <alignment horizontal="center" vertical="center"/>
      <protection locked="0"/>
    </xf>
    <xf numFmtId="0" fontId="51" fillId="0" borderId="14" xfId="0" applyFont="1" applyBorder="1" applyAlignment="1" applyProtection="1">
      <alignment horizontal="center" vertical="center"/>
      <protection locked="0"/>
    </xf>
    <xf numFmtId="177" fontId="52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177" fontId="6" fillId="0" borderId="0" xfId="0" applyNumberFormat="1" applyFont="1" applyAlignment="1">
      <alignment vertical="center"/>
    </xf>
    <xf numFmtId="177" fontId="12" fillId="0" borderId="0" xfId="0" applyNumberFormat="1" applyFont="1" applyAlignment="1">
      <alignment vertical="center"/>
    </xf>
    <xf numFmtId="0" fontId="50" fillId="0" borderId="2" xfId="0" quotePrefix="1" applyFont="1" applyBorder="1" applyAlignment="1" applyProtection="1">
      <alignment horizontal="center" vertical="center" wrapText="1"/>
      <protection locked="0"/>
    </xf>
    <xf numFmtId="0" fontId="50" fillId="4" borderId="50" xfId="0" quotePrefix="1" applyFont="1" applyFill="1" applyBorder="1" applyAlignment="1" applyProtection="1">
      <alignment horizontal="center" vertical="center" wrapText="1"/>
      <protection locked="0"/>
    </xf>
    <xf numFmtId="0" fontId="51" fillId="11" borderId="13" xfId="0" applyFont="1" applyFill="1" applyBorder="1" applyAlignment="1" applyProtection="1">
      <alignment horizontal="center" vertical="center"/>
      <protection locked="0"/>
    </xf>
    <xf numFmtId="0" fontId="51" fillId="11" borderId="1" xfId="0" applyFont="1" applyFill="1" applyBorder="1" applyAlignment="1" applyProtection="1">
      <alignment horizontal="center" vertical="center"/>
      <protection locked="0"/>
    </xf>
    <xf numFmtId="0" fontId="51" fillId="11" borderId="14" xfId="0" applyFont="1" applyFill="1" applyBorder="1" applyAlignment="1" applyProtection="1">
      <alignment horizontal="center" vertical="center"/>
      <protection locked="0"/>
    </xf>
    <xf numFmtId="0" fontId="12" fillId="11" borderId="31" xfId="0" applyFont="1" applyFill="1" applyBorder="1" applyAlignment="1" applyProtection="1">
      <alignment horizontal="center" vertical="center"/>
      <protection locked="0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29" fillId="0" borderId="1" xfId="5" applyFont="1" applyBorder="1" applyAlignment="1" applyProtection="1">
      <alignment horizontal="center" vertical="center"/>
      <protection locked="0"/>
    </xf>
    <xf numFmtId="0" fontId="12" fillId="11" borderId="38" xfId="0" applyFont="1" applyFill="1" applyBorder="1" applyAlignment="1" applyProtection="1">
      <alignment vertical="center"/>
      <protection locked="0"/>
    </xf>
    <xf numFmtId="0" fontId="44" fillId="0" borderId="1" xfId="5" applyFont="1" applyBorder="1" applyAlignment="1" applyProtection="1">
      <alignment horizontal="center" vertical="center"/>
      <protection locked="0"/>
    </xf>
    <xf numFmtId="0" fontId="42" fillId="0" borderId="1" xfId="6" applyFont="1" applyBorder="1" applyAlignment="1" applyProtection="1">
      <alignment horizontal="center" vertical="center"/>
      <protection locked="0"/>
    </xf>
    <xf numFmtId="0" fontId="44" fillId="0" borderId="1" xfId="5" applyFont="1" applyBorder="1" applyAlignment="1" applyProtection="1">
      <alignment horizontal="center" vertical="center" wrapText="1"/>
      <protection locked="0"/>
    </xf>
    <xf numFmtId="0" fontId="29" fillId="12" borderId="2" xfId="0" applyFont="1" applyFill="1" applyBorder="1" applyAlignment="1" applyProtection="1">
      <alignment horizontal="center" vertical="center"/>
      <protection locked="0"/>
    </xf>
    <xf numFmtId="0" fontId="29" fillId="11" borderId="2" xfId="0" applyFont="1" applyFill="1" applyBorder="1" applyAlignment="1" applyProtection="1">
      <alignment horizontal="center" vertical="center"/>
      <protection locked="0"/>
    </xf>
    <xf numFmtId="0" fontId="12" fillId="11" borderId="53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9" fillId="0" borderId="0" xfId="0" applyFont="1" applyAlignment="1">
      <alignment horizontal="center" vertical="center"/>
    </xf>
    <xf numFmtId="41" fontId="59" fillId="0" borderId="0" xfId="10" applyNumberFormat="1" applyFont="1" applyFill="1" applyBorder="1" applyAlignment="1" applyProtection="1">
      <alignment horizontal="center" vertical="center"/>
    </xf>
    <xf numFmtId="0" fontId="26" fillId="0" borderId="0" xfId="0" applyFont="1"/>
    <xf numFmtId="0" fontId="12" fillId="11" borderId="13" xfId="0" applyFont="1" applyFill="1" applyBorder="1" applyAlignment="1" applyProtection="1">
      <alignment horizontal="center" vertical="center"/>
      <protection locked="0"/>
    </xf>
    <xf numFmtId="41" fontId="49" fillId="0" borderId="13" xfId="0" applyNumberFormat="1" applyFont="1" applyBorder="1" applyAlignment="1">
      <alignment horizontal="center" vertical="center"/>
    </xf>
    <xf numFmtId="41" fontId="49" fillId="0" borderId="1" xfId="0" applyNumberFormat="1" applyFont="1" applyBorder="1" applyAlignment="1">
      <alignment horizontal="center" vertical="center"/>
    </xf>
    <xf numFmtId="41" fontId="49" fillId="0" borderId="14" xfId="0" applyNumberFormat="1" applyFont="1" applyBorder="1" applyAlignment="1">
      <alignment horizontal="center" vertical="center"/>
    </xf>
    <xf numFmtId="41" fontId="49" fillId="0" borderId="17" xfId="0" applyNumberFormat="1" applyFont="1" applyBorder="1" applyAlignment="1">
      <alignment horizontal="center" vertical="center"/>
    </xf>
    <xf numFmtId="41" fontId="49" fillId="0" borderId="18" xfId="0" applyNumberFormat="1" applyFont="1" applyBorder="1" applyAlignment="1">
      <alignment horizontal="center" vertical="center"/>
    </xf>
    <xf numFmtId="41" fontId="49" fillId="0" borderId="10" xfId="0" applyNumberFormat="1" applyFont="1" applyBorder="1" applyAlignment="1">
      <alignment horizontal="center" vertical="center"/>
    </xf>
    <xf numFmtId="41" fontId="49" fillId="0" borderId="4" xfId="0" applyNumberFormat="1" applyFont="1" applyBorder="1" applyAlignment="1">
      <alignment horizontal="center" vertical="center"/>
    </xf>
    <xf numFmtId="41" fontId="49" fillId="0" borderId="11" xfId="0" applyNumberFormat="1" applyFont="1" applyBorder="1" applyAlignment="1">
      <alignment horizontal="center" vertical="center"/>
    </xf>
    <xf numFmtId="41" fontId="49" fillId="0" borderId="15" xfId="0" applyNumberFormat="1" applyFont="1" applyBorder="1" applyAlignment="1">
      <alignment horizontal="center" vertical="center"/>
    </xf>
    <xf numFmtId="41" fontId="49" fillId="11" borderId="13" xfId="0" applyNumberFormat="1" applyFont="1" applyFill="1" applyBorder="1" applyAlignment="1">
      <alignment horizontal="center" vertical="center"/>
    </xf>
    <xf numFmtId="41" fontId="49" fillId="11" borderId="1" xfId="0" applyNumberFormat="1" applyFont="1" applyFill="1" applyBorder="1" applyAlignment="1">
      <alignment horizontal="center" vertical="center"/>
    </xf>
    <xf numFmtId="41" fontId="49" fillId="11" borderId="14" xfId="0" applyNumberFormat="1" applyFont="1" applyFill="1" applyBorder="1" applyAlignment="1">
      <alignment horizontal="center" vertical="center"/>
    </xf>
    <xf numFmtId="41" fontId="49" fillId="11" borderId="10" xfId="0" applyNumberFormat="1" applyFont="1" applyFill="1" applyBorder="1" applyAlignment="1">
      <alignment horizontal="center" vertical="center"/>
    </xf>
    <xf numFmtId="41" fontId="49" fillId="11" borderId="4" xfId="0" applyNumberFormat="1" applyFont="1" applyFill="1" applyBorder="1" applyAlignment="1">
      <alignment horizontal="center" vertical="center"/>
    </xf>
    <xf numFmtId="41" fontId="49" fillId="11" borderId="11" xfId="0" applyNumberFormat="1" applyFont="1" applyFill="1" applyBorder="1" applyAlignment="1">
      <alignment horizontal="center" vertical="center"/>
    </xf>
    <xf numFmtId="0" fontId="28" fillId="12" borderId="2" xfId="0" applyFont="1" applyFill="1" applyBorder="1" applyAlignment="1">
      <alignment horizontal="center"/>
    </xf>
    <xf numFmtId="0" fontId="58" fillId="12" borderId="2" xfId="0" applyFont="1" applyFill="1" applyBorder="1" applyAlignment="1">
      <alignment horizont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28" fillId="12" borderId="29" xfId="0" applyFont="1" applyFill="1" applyBorder="1" applyAlignment="1">
      <alignment horizont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center" vertical="center"/>
      <protection locked="0"/>
    </xf>
    <xf numFmtId="0" fontId="12" fillId="11" borderId="14" xfId="0" applyFont="1" applyFill="1" applyBorder="1" applyAlignment="1" applyProtection="1">
      <alignment horizontal="center" vertical="center"/>
      <protection locked="0"/>
    </xf>
    <xf numFmtId="0" fontId="12" fillId="9" borderId="13" xfId="0" applyFont="1" applyFill="1" applyBorder="1" applyAlignment="1" applyProtection="1">
      <alignment horizontal="center" vertical="center"/>
      <protection locked="0"/>
    </xf>
    <xf numFmtId="0" fontId="51" fillId="9" borderId="13" xfId="0" applyFont="1" applyFill="1" applyBorder="1" applyAlignment="1" applyProtection="1">
      <alignment horizontal="center" vertical="center"/>
      <protection locked="0"/>
    </xf>
    <xf numFmtId="0" fontId="30" fillId="0" borderId="4" xfId="5" applyFont="1" applyBorder="1" applyAlignment="1" applyProtection="1">
      <alignment horizontal="center" vertical="center"/>
      <protection locked="0"/>
    </xf>
    <xf numFmtId="0" fontId="62" fillId="0" borderId="55" xfId="0" applyFont="1" applyBorder="1" applyAlignment="1" applyProtection="1">
      <alignment horizontal="center" vertical="center"/>
      <protection locked="0"/>
    </xf>
    <xf numFmtId="41" fontId="62" fillId="0" borderId="42" xfId="0" applyNumberFormat="1" applyFont="1" applyBorder="1" applyAlignment="1" applyProtection="1">
      <alignment vertical="center"/>
      <protection locked="0"/>
    </xf>
    <xf numFmtId="0" fontId="61" fillId="0" borderId="19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41" fontId="0" fillId="0" borderId="0" xfId="0" applyNumberFormat="1" applyAlignment="1">
      <alignment horizontal="center"/>
    </xf>
    <xf numFmtId="41" fontId="0" fillId="4" borderId="0" xfId="0" applyNumberFormat="1" applyFill="1" applyAlignment="1">
      <alignment horizontal="center"/>
    </xf>
    <xf numFmtId="41" fontId="0" fillId="14" borderId="0" xfId="0" applyNumberFormat="1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41" fontId="0" fillId="0" borderId="0" xfId="0" applyNumberFormat="1"/>
    <xf numFmtId="41" fontId="0" fillId="4" borderId="0" xfId="0" applyNumberFormat="1" applyFill="1"/>
    <xf numFmtId="41" fontId="0" fillId="15" borderId="0" xfId="0" applyNumberForma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62" fillId="11" borderId="55" xfId="0" applyFont="1" applyFill="1" applyBorder="1" applyAlignment="1" applyProtection="1">
      <alignment horizontal="center" vertical="center"/>
      <protection locked="0"/>
    </xf>
    <xf numFmtId="41" fontId="62" fillId="11" borderId="52" xfId="0" applyNumberFormat="1" applyFont="1" applyFill="1" applyBorder="1" applyAlignment="1" applyProtection="1">
      <alignment vertical="center"/>
      <protection locked="0"/>
    </xf>
    <xf numFmtId="41" fontId="62" fillId="11" borderId="42" xfId="0" applyNumberFormat="1" applyFont="1" applyFill="1" applyBorder="1" applyAlignment="1" applyProtection="1">
      <alignment vertical="center"/>
      <protection locked="0"/>
    </xf>
    <xf numFmtId="41" fontId="12" fillId="7" borderId="13" xfId="0" applyNumberFormat="1" applyFont="1" applyFill="1" applyBorder="1" applyAlignment="1" applyProtection="1">
      <alignment horizontal="center" vertical="center"/>
      <protection locked="0"/>
    </xf>
    <xf numFmtId="41" fontId="12" fillId="7" borderId="1" xfId="0" applyNumberFormat="1" applyFont="1" applyFill="1" applyBorder="1" applyAlignment="1" applyProtection="1">
      <alignment horizontal="center" vertical="center"/>
      <protection locked="0"/>
    </xf>
    <xf numFmtId="41" fontId="12" fillId="7" borderId="14" xfId="0" applyNumberFormat="1" applyFont="1" applyFill="1" applyBorder="1" applyAlignment="1" applyProtection="1">
      <alignment horizontal="center" vertical="center"/>
      <protection locked="0"/>
    </xf>
    <xf numFmtId="41" fontId="12" fillId="13" borderId="1" xfId="0" applyNumberFormat="1" applyFont="1" applyFill="1" applyBorder="1" applyAlignment="1" applyProtection="1">
      <alignment horizontal="center" vertical="center"/>
      <protection locked="0"/>
    </xf>
    <xf numFmtId="41" fontId="12" fillId="13" borderId="14" xfId="0" applyNumberFormat="1" applyFont="1" applyFill="1" applyBorder="1" applyAlignment="1" applyProtection="1">
      <alignment horizontal="center" vertical="center"/>
      <protection locked="0"/>
    </xf>
    <xf numFmtId="41" fontId="12" fillId="0" borderId="1" xfId="0" applyNumberFormat="1" applyFont="1" applyBorder="1" applyAlignment="1" applyProtection="1">
      <alignment horizontal="center" vertical="center"/>
      <protection locked="0"/>
    </xf>
    <xf numFmtId="41" fontId="12" fillId="0" borderId="14" xfId="0" applyNumberFormat="1" applyFont="1" applyBorder="1" applyAlignment="1" applyProtection="1">
      <alignment horizontal="center" vertical="center"/>
      <protection locked="0"/>
    </xf>
    <xf numFmtId="41" fontId="12" fillId="0" borderId="0" xfId="0" applyNumberFormat="1" applyFont="1" applyAlignment="1" applyProtection="1">
      <alignment vertical="center"/>
      <protection locked="0"/>
    </xf>
    <xf numFmtId="41" fontId="12" fillId="0" borderId="2" xfId="0" applyNumberFormat="1" applyFont="1" applyBorder="1" applyAlignment="1">
      <alignment horizontal="center" vertical="center"/>
    </xf>
    <xf numFmtId="41" fontId="54" fillId="4" borderId="51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top"/>
      <protection locked="0"/>
    </xf>
    <xf numFmtId="0" fontId="61" fillId="0" borderId="0" xfId="0" applyFont="1" applyAlignment="1" applyProtection="1">
      <alignment vertical="center"/>
      <protection locked="0"/>
    </xf>
    <xf numFmtId="0" fontId="61" fillId="0" borderId="0" xfId="0" applyFont="1" applyProtection="1">
      <protection locked="0"/>
    </xf>
    <xf numFmtId="0" fontId="47" fillId="0" borderId="0" xfId="0" applyFont="1" applyAlignment="1" applyProtection="1">
      <alignment horizontal="right" vertical="center"/>
      <protection locked="0"/>
    </xf>
    <xf numFmtId="0" fontId="70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horizontal="left" vertical="center"/>
      <protection locked="0"/>
    </xf>
    <xf numFmtId="41" fontId="12" fillId="0" borderId="15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textRotation="255"/>
      <protection locked="0"/>
    </xf>
    <xf numFmtId="0" fontId="72" fillId="0" borderId="0" xfId="0" applyFont="1" applyAlignment="1" applyProtection="1">
      <alignment horizontal="left" vertical="center"/>
      <protection locked="0"/>
    </xf>
    <xf numFmtId="41" fontId="12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1" fontId="8" fillId="0" borderId="0" xfId="0" applyNumberFormat="1" applyFont="1" applyAlignment="1" applyProtection="1">
      <alignment horizontal="center" vertical="center"/>
      <protection locked="0"/>
    </xf>
    <xf numFmtId="41" fontId="15" fillId="0" borderId="0" xfId="0" applyNumberFormat="1" applyFont="1" applyAlignment="1" applyProtection="1">
      <alignment horizontal="center" vertical="center"/>
      <protection locked="0"/>
    </xf>
    <xf numFmtId="41" fontId="12" fillId="0" borderId="4" xfId="0" applyNumberFormat="1" applyFont="1" applyBorder="1" applyAlignment="1" applyProtection="1">
      <alignment horizontal="center" vertical="center"/>
      <protection locked="0"/>
    </xf>
    <xf numFmtId="0" fontId="67" fillId="0" borderId="0" xfId="0" applyFont="1" applyProtection="1">
      <protection locked="0"/>
    </xf>
    <xf numFmtId="0" fontId="59" fillId="0" borderId="0" xfId="0" applyFont="1" applyProtection="1">
      <protection locked="0"/>
    </xf>
    <xf numFmtId="41" fontId="12" fillId="10" borderId="1" xfId="0" applyNumberFormat="1" applyFont="1" applyFill="1" applyBorder="1" applyAlignment="1" applyProtection="1">
      <alignment horizontal="center" vertical="center"/>
      <protection locked="0"/>
    </xf>
    <xf numFmtId="41" fontId="12" fillId="10" borderId="29" xfId="0" applyNumberFormat="1" applyFont="1" applyFill="1" applyBorder="1" applyAlignment="1" applyProtection="1">
      <alignment horizontal="center" vertical="center"/>
      <protection locked="0"/>
    </xf>
    <xf numFmtId="41" fontId="12" fillId="10" borderId="17" xfId="0" applyNumberFormat="1" applyFont="1" applyFill="1" applyBorder="1" applyAlignment="1" applyProtection="1">
      <alignment horizontal="center" vertical="center"/>
      <protection locked="0"/>
    </xf>
    <xf numFmtId="0" fontId="29" fillId="0" borderId="2" xfId="5" applyFont="1" applyBorder="1" applyAlignment="1" applyProtection="1">
      <alignment horizontal="center" vertical="center"/>
      <protection locked="0"/>
    </xf>
    <xf numFmtId="0" fontId="55" fillId="0" borderId="32" xfId="0" applyFont="1" applyBorder="1" applyAlignment="1" applyProtection="1">
      <alignment horizontal="center" vertical="center"/>
      <protection locked="0"/>
    </xf>
    <xf numFmtId="0" fontId="55" fillId="0" borderId="37" xfId="0" applyFont="1" applyBorder="1" applyAlignment="1" applyProtection="1">
      <alignment horizontal="center" vertical="center"/>
      <protection locked="0"/>
    </xf>
    <xf numFmtId="0" fontId="73" fillId="2" borderId="0" xfId="0" applyFont="1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locked="0"/>
    </xf>
    <xf numFmtId="0" fontId="42" fillId="10" borderId="1" xfId="6" applyFont="1" applyFill="1" applyBorder="1" applyAlignment="1" applyProtection="1">
      <alignment horizontal="center" vertical="center"/>
      <protection locked="0"/>
    </xf>
    <xf numFmtId="0" fontId="42" fillId="10" borderId="4" xfId="6" applyFont="1" applyFill="1" applyBorder="1" applyAlignment="1" applyProtection="1">
      <alignment horizontal="center" vertical="center"/>
      <protection locked="0"/>
    </xf>
    <xf numFmtId="0" fontId="29" fillId="12" borderId="1" xfId="0" applyFont="1" applyFill="1" applyBorder="1" applyAlignment="1" applyProtection="1">
      <alignment horizontal="center" vertical="center"/>
      <protection locked="0"/>
    </xf>
    <xf numFmtId="0" fontId="78" fillId="12" borderId="1" xfId="0" applyFont="1" applyFill="1" applyBorder="1" applyAlignment="1" applyProtection="1">
      <alignment horizontal="center" vertical="center"/>
      <protection locked="0"/>
    </xf>
    <xf numFmtId="0" fontId="29" fillId="12" borderId="4" xfId="0" applyFont="1" applyFill="1" applyBorder="1" applyAlignment="1" applyProtection="1">
      <alignment horizontal="center" vertical="center"/>
      <protection locked="0"/>
    </xf>
    <xf numFmtId="0" fontId="48" fillId="7" borderId="2" xfId="0" applyFont="1" applyFill="1" applyBorder="1" applyAlignment="1" applyProtection="1">
      <alignment horizontal="center" vertical="center"/>
      <protection locked="0"/>
    </xf>
    <xf numFmtId="0" fontId="48" fillId="7" borderId="1" xfId="0" applyFont="1" applyFill="1" applyBorder="1" applyAlignment="1" applyProtection="1">
      <alignment horizontal="center" vertical="center"/>
      <protection locked="0"/>
    </xf>
    <xf numFmtId="0" fontId="48" fillId="7" borderId="14" xfId="0" applyFont="1" applyFill="1" applyBorder="1" applyAlignment="1" applyProtection="1">
      <alignment horizontal="center" vertical="center"/>
      <protection locked="0"/>
    </xf>
    <xf numFmtId="0" fontId="76" fillId="0" borderId="1" xfId="5" applyFont="1" applyBorder="1" applyAlignment="1" applyProtection="1">
      <alignment horizontal="center" vertical="center"/>
      <protection locked="0"/>
    </xf>
    <xf numFmtId="0" fontId="42" fillId="10" borderId="9" xfId="6" applyFont="1" applyFill="1" applyBorder="1" applyAlignment="1" applyProtection="1">
      <alignment horizontal="center" vertical="center"/>
      <protection locked="0"/>
    </xf>
    <xf numFmtId="41" fontId="54" fillId="0" borderId="2" xfId="0" applyNumberFormat="1" applyFont="1" applyBorder="1" applyAlignment="1" applyProtection="1">
      <alignment horizontal="center" vertical="center"/>
      <protection locked="0"/>
    </xf>
    <xf numFmtId="0" fontId="48" fillId="0" borderId="1" xfId="0" applyFont="1" applyBorder="1" applyAlignment="1" applyProtection="1">
      <alignment horizontal="center" vertical="center"/>
      <protection locked="0"/>
    </xf>
    <xf numFmtId="41" fontId="12" fillId="0" borderId="11" xfId="0" applyNumberFormat="1" applyFont="1" applyBorder="1" applyAlignment="1" applyProtection="1">
      <alignment horizontal="center" vertical="center"/>
      <protection locked="0"/>
    </xf>
    <xf numFmtId="176" fontId="47" fillId="0" borderId="1" xfId="0" applyNumberFormat="1" applyFont="1" applyBorder="1" applyAlignment="1" applyProtection="1">
      <alignment horizontal="center" vertical="center"/>
      <protection locked="0"/>
    </xf>
    <xf numFmtId="0" fontId="42" fillId="0" borderId="2" xfId="6" applyFont="1" applyBorder="1" applyAlignment="1" applyProtection="1">
      <alignment horizontal="center" vertical="center"/>
      <protection locked="0"/>
    </xf>
    <xf numFmtId="0" fontId="42" fillId="0" borderId="15" xfId="6" applyFont="1" applyBorder="1" applyAlignment="1" applyProtection="1">
      <alignment horizontal="center" vertical="center"/>
      <protection locked="0"/>
    </xf>
    <xf numFmtId="41" fontId="47" fillId="4" borderId="51" xfId="0" applyNumberFormat="1" applyFont="1" applyFill="1" applyBorder="1" applyAlignment="1" applyProtection="1">
      <alignment horizontal="center" vertical="center"/>
      <protection locked="0"/>
    </xf>
    <xf numFmtId="41" fontId="49" fillId="6" borderId="13" xfId="0" applyNumberFormat="1" applyFont="1" applyFill="1" applyBorder="1" applyAlignment="1">
      <alignment horizontal="center" vertical="center"/>
    </xf>
    <xf numFmtId="41" fontId="49" fillId="6" borderId="1" xfId="0" applyNumberFormat="1" applyFont="1" applyFill="1" applyBorder="1" applyAlignment="1">
      <alignment horizontal="center" vertical="center"/>
    </xf>
    <xf numFmtId="41" fontId="49" fillId="6" borderId="14" xfId="0" applyNumberFormat="1" applyFont="1" applyFill="1" applyBorder="1" applyAlignment="1">
      <alignment horizontal="center" vertical="center"/>
    </xf>
    <xf numFmtId="0" fontId="12" fillId="7" borderId="13" xfId="0" applyFont="1" applyFill="1" applyBorder="1" applyAlignment="1" applyProtection="1">
      <alignment horizontal="center" vertical="center"/>
      <protection locked="0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0" fontId="12" fillId="7" borderId="14" xfId="0" applyFont="1" applyFill="1" applyBorder="1" applyAlignment="1" applyProtection="1">
      <alignment horizontal="center" vertical="center"/>
      <protection locked="0"/>
    </xf>
    <xf numFmtId="41" fontId="0" fillId="9" borderId="0" xfId="0" applyNumberFormat="1" applyFill="1" applyAlignment="1">
      <alignment horizontal="center"/>
    </xf>
    <xf numFmtId="0" fontId="48" fillId="0" borderId="0" xfId="0" applyFont="1" applyAlignment="1">
      <alignment horizontal="center" vertical="center"/>
    </xf>
    <xf numFmtId="0" fontId="61" fillId="11" borderId="0" xfId="0" applyFont="1" applyFill="1" applyAlignment="1" applyProtection="1">
      <alignment vertical="center"/>
      <protection locked="0"/>
    </xf>
    <xf numFmtId="0" fontId="29" fillId="11" borderId="1" xfId="0" applyFont="1" applyFill="1" applyBorder="1" applyAlignment="1" applyProtection="1">
      <alignment horizontal="center" vertical="center"/>
      <protection locked="0"/>
    </xf>
    <xf numFmtId="0" fontId="48" fillId="11" borderId="1" xfId="0" applyFont="1" applyFill="1" applyBorder="1" applyAlignment="1" applyProtection="1">
      <alignment horizontal="center" vertical="center"/>
      <protection locked="0"/>
    </xf>
    <xf numFmtId="0" fontId="48" fillId="11" borderId="14" xfId="0" applyFont="1" applyFill="1" applyBorder="1" applyAlignment="1" applyProtection="1">
      <alignment horizontal="center" vertical="center"/>
      <protection locked="0"/>
    </xf>
    <xf numFmtId="41" fontId="12" fillId="11" borderId="1" xfId="0" applyNumberFormat="1" applyFont="1" applyFill="1" applyBorder="1" applyAlignment="1" applyProtection="1">
      <alignment horizontal="center" vertical="center"/>
      <protection locked="0"/>
    </xf>
    <xf numFmtId="41" fontId="12" fillId="11" borderId="14" xfId="0" applyNumberFormat="1" applyFont="1" applyFill="1" applyBorder="1" applyAlignment="1" applyProtection="1">
      <alignment horizontal="center" vertical="center"/>
      <protection locked="0"/>
    </xf>
    <xf numFmtId="0" fontId="29" fillId="11" borderId="4" xfId="0" applyFont="1" applyFill="1" applyBorder="1" applyAlignment="1" applyProtection="1">
      <alignment horizontal="center" vertical="center"/>
      <protection locked="0"/>
    </xf>
    <xf numFmtId="41" fontId="12" fillId="11" borderId="4" xfId="0" applyNumberFormat="1" applyFont="1" applyFill="1" applyBorder="1" applyAlignment="1" applyProtection="1">
      <alignment horizontal="center" vertical="center"/>
      <protection locked="0"/>
    </xf>
    <xf numFmtId="41" fontId="12" fillId="11" borderId="11" xfId="0" applyNumberFormat="1" applyFont="1" applyFill="1" applyBorder="1" applyAlignment="1" applyProtection="1">
      <alignment horizontal="center" vertical="center"/>
      <protection locked="0"/>
    </xf>
    <xf numFmtId="0" fontId="8" fillId="11" borderId="0" xfId="0" applyFont="1" applyFill="1" applyAlignment="1" applyProtection="1">
      <alignment horizontal="left" vertical="center" textRotation="255"/>
      <protection locked="0"/>
    </xf>
    <xf numFmtId="0" fontId="72" fillId="11" borderId="0" xfId="0" applyFont="1" applyFill="1" applyAlignment="1" applyProtection="1">
      <alignment horizontal="left" vertical="center"/>
      <protection locked="0"/>
    </xf>
    <xf numFmtId="41" fontId="12" fillId="11" borderId="0" xfId="0" applyNumberFormat="1" applyFont="1" applyFill="1" applyAlignment="1" applyProtection="1">
      <alignment vertical="center"/>
      <protection locked="0"/>
    </xf>
    <xf numFmtId="41" fontId="12" fillId="11" borderId="0" xfId="0" applyNumberFormat="1" applyFont="1" applyFill="1" applyAlignment="1" applyProtection="1">
      <alignment horizontal="center" vertical="center"/>
      <protection locked="0"/>
    </xf>
    <xf numFmtId="176" fontId="47" fillId="11" borderId="1" xfId="0" applyNumberFormat="1" applyFont="1" applyFill="1" applyBorder="1" applyAlignment="1" applyProtection="1">
      <alignment horizontal="center" vertical="center"/>
      <protection locked="0"/>
    </xf>
    <xf numFmtId="41" fontId="54" fillId="11" borderId="2" xfId="0" applyNumberFormat="1" applyFont="1" applyFill="1" applyBorder="1" applyAlignment="1" applyProtection="1">
      <alignment horizontal="center" vertical="center"/>
      <protection locked="0"/>
    </xf>
    <xf numFmtId="41" fontId="47" fillId="11" borderId="51" xfId="0" applyNumberFormat="1" applyFont="1" applyFill="1" applyBorder="1" applyAlignment="1" applyProtection="1">
      <alignment horizontal="center" vertical="center"/>
      <protection locked="0"/>
    </xf>
    <xf numFmtId="0" fontId="61" fillId="11" borderId="0" xfId="0" applyFont="1" applyFill="1" applyProtection="1">
      <protection locked="0"/>
    </xf>
    <xf numFmtId="0" fontId="12" fillId="11" borderId="0" xfId="0" applyFont="1" applyFill="1" applyAlignment="1" applyProtection="1">
      <alignment vertical="center"/>
      <protection locked="0"/>
    </xf>
    <xf numFmtId="0" fontId="55" fillId="11" borderId="37" xfId="0" applyFont="1" applyFill="1" applyBorder="1" applyAlignment="1" applyProtection="1">
      <alignment horizontal="center" vertical="center"/>
      <protection locked="0"/>
    </xf>
    <xf numFmtId="0" fontId="55" fillId="11" borderId="32" xfId="0" applyFont="1" applyFill="1" applyBorder="1" applyAlignment="1" applyProtection="1">
      <alignment horizontal="center" vertical="center"/>
      <protection locked="0"/>
    </xf>
    <xf numFmtId="0" fontId="8" fillId="11" borderId="0" xfId="0" applyFont="1" applyFill="1" applyAlignment="1" applyProtection="1">
      <alignment horizontal="center" vertical="center"/>
      <protection locked="0"/>
    </xf>
    <xf numFmtId="41" fontId="8" fillId="11" borderId="0" xfId="0" applyNumberFormat="1" applyFont="1" applyFill="1" applyAlignment="1" applyProtection="1">
      <alignment horizontal="center" vertical="center"/>
      <protection locked="0"/>
    </xf>
    <xf numFmtId="41" fontId="15" fillId="11" borderId="0" xfId="0" applyNumberFormat="1" applyFont="1" applyFill="1" applyAlignment="1" applyProtection="1">
      <alignment horizontal="center" vertical="center"/>
      <protection locked="0"/>
    </xf>
    <xf numFmtId="41" fontId="12" fillId="11" borderId="29" xfId="0" applyNumberFormat="1" applyFont="1" applyFill="1" applyBorder="1" applyAlignment="1" applyProtection="1">
      <alignment horizontal="center" vertical="center"/>
      <protection locked="0"/>
    </xf>
    <xf numFmtId="41" fontId="12" fillId="11" borderId="15" xfId="0" applyNumberFormat="1" applyFont="1" applyFill="1" applyBorder="1" applyAlignment="1" applyProtection="1">
      <alignment horizontal="center" vertical="center"/>
      <protection locked="0"/>
    </xf>
    <xf numFmtId="0" fontId="26" fillId="11" borderId="1" xfId="0" applyFont="1" applyFill="1" applyBorder="1" applyAlignment="1" applyProtection="1">
      <alignment horizontal="center" vertical="center"/>
      <protection locked="0"/>
    </xf>
    <xf numFmtId="0" fontId="54" fillId="0" borderId="55" xfId="0" applyFont="1" applyBorder="1" applyAlignment="1" applyProtection="1">
      <alignment horizontal="center" vertical="center"/>
      <protection locked="0"/>
    </xf>
    <xf numFmtId="41" fontId="54" fillId="0" borderId="42" xfId="0" applyNumberFormat="1" applyFont="1" applyBorder="1" applyAlignment="1" applyProtection="1">
      <alignment vertical="center"/>
      <protection locked="0"/>
    </xf>
    <xf numFmtId="0" fontId="84" fillId="0" borderId="24" xfId="0" applyFont="1" applyBorder="1" applyAlignment="1">
      <alignment horizontal="center" vertical="top" wrapText="1"/>
    </xf>
    <xf numFmtId="0" fontId="84" fillId="0" borderId="24" xfId="0" applyFont="1" applyBorder="1" applyAlignment="1">
      <alignment horizontal="left" vertical="top" wrapText="1"/>
    </xf>
    <xf numFmtId="0" fontId="84" fillId="5" borderId="24" xfId="0" applyFont="1" applyFill="1" applyBorder="1" applyAlignment="1">
      <alignment horizontal="left" vertical="top" wrapText="1"/>
    </xf>
    <xf numFmtId="1" fontId="85" fillId="0" borderId="24" xfId="0" applyNumberFormat="1" applyFont="1" applyBorder="1" applyAlignment="1">
      <alignment horizontal="center" vertical="top" shrinkToFit="1"/>
    </xf>
    <xf numFmtId="1" fontId="85" fillId="5" borderId="24" xfId="0" applyNumberFormat="1" applyFont="1" applyFill="1" applyBorder="1" applyAlignment="1">
      <alignment horizontal="center" vertical="top" shrinkToFit="1"/>
    </xf>
    <xf numFmtId="0" fontId="84" fillId="5" borderId="24" xfId="0" applyFont="1" applyFill="1" applyBorder="1" applyAlignment="1">
      <alignment horizontal="center" vertical="top" wrapText="1"/>
    </xf>
    <xf numFmtId="1" fontId="85" fillId="4" borderId="24" xfId="0" applyNumberFormat="1" applyFont="1" applyFill="1" applyBorder="1" applyAlignment="1">
      <alignment horizontal="center" vertical="top" shrinkToFit="1"/>
    </xf>
    <xf numFmtId="0" fontId="84" fillId="4" borderId="24" xfId="0" applyFont="1" applyFill="1" applyBorder="1" applyAlignment="1">
      <alignment horizontal="center" vertical="top" wrapText="1"/>
    </xf>
    <xf numFmtId="0" fontId="51" fillId="0" borderId="2" xfId="0" applyFont="1" applyBorder="1" applyAlignment="1" applyProtection="1">
      <alignment horizontal="center" vertical="center"/>
      <protection locked="0"/>
    </xf>
    <xf numFmtId="0" fontId="12" fillId="7" borderId="2" xfId="0" applyFont="1" applyFill="1" applyBorder="1" applyAlignment="1" applyProtection="1">
      <alignment horizontal="center" vertical="center"/>
      <protection locked="0"/>
    </xf>
    <xf numFmtId="41" fontId="49" fillId="0" borderId="2" xfId="0" applyNumberFormat="1" applyFont="1" applyBorder="1" applyAlignment="1">
      <alignment horizontal="center" vertical="center"/>
    </xf>
    <xf numFmtId="41" fontId="49" fillId="6" borderId="2" xfId="0" applyNumberFormat="1" applyFont="1" applyFill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center" vertical="center"/>
    </xf>
    <xf numFmtId="0" fontId="7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61" fillId="11" borderId="34" xfId="0" applyFont="1" applyFill="1" applyBorder="1" applyAlignment="1" applyProtection="1">
      <alignment horizontal="center" vertical="center" wrapText="1"/>
      <protection locked="0"/>
    </xf>
    <xf numFmtId="0" fontId="61" fillId="11" borderId="19" xfId="0" applyFont="1" applyFill="1" applyBorder="1" applyAlignment="1" applyProtection="1">
      <alignment horizontal="center" vertical="center" wrapText="1"/>
      <protection locked="0"/>
    </xf>
    <xf numFmtId="41" fontId="61" fillId="11" borderId="19" xfId="0" applyNumberFormat="1" applyFont="1" applyFill="1" applyBorder="1" applyAlignment="1" applyProtection="1">
      <alignment horizontal="center" vertical="center"/>
      <protection locked="0"/>
    </xf>
    <xf numFmtId="41" fontId="61" fillId="11" borderId="9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4" fillId="2" borderId="0" xfId="0" applyFont="1" applyFill="1" applyAlignment="1" applyProtection="1">
      <alignment vertical="center" wrapText="1"/>
      <protection locked="0"/>
    </xf>
    <xf numFmtId="0" fontId="19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41" fontId="61" fillId="0" borderId="7" xfId="0" applyNumberFormat="1" applyFont="1" applyBorder="1" applyAlignment="1" applyProtection="1">
      <alignment horizontal="center" vertical="center"/>
      <protection locked="0"/>
    </xf>
    <xf numFmtId="41" fontId="61" fillId="0" borderId="18" xfId="0" applyNumberFormat="1" applyFont="1" applyBorder="1" applyAlignment="1" applyProtection="1">
      <alignment horizontal="center" vertical="center"/>
      <protection locked="0"/>
    </xf>
    <xf numFmtId="0" fontId="12" fillId="11" borderId="13" xfId="0" applyFont="1" applyFill="1" applyBorder="1" applyAlignment="1" applyProtection="1">
      <alignment vertical="center"/>
      <protection locked="0"/>
    </xf>
    <xf numFmtId="0" fontId="12" fillId="11" borderId="13" xfId="0" applyFont="1" applyFill="1" applyBorder="1" applyAlignment="1" applyProtection="1">
      <alignment horizontal="center" vertical="center"/>
      <protection locked="0"/>
    </xf>
    <xf numFmtId="0" fontId="12" fillId="11" borderId="57" xfId="0" applyFont="1" applyFill="1" applyBorder="1" applyAlignment="1" applyProtection="1">
      <alignment horizontal="left" vertical="center" wrapText="1"/>
      <protection locked="0"/>
    </xf>
    <xf numFmtId="0" fontId="0" fillId="0" borderId="68" xfId="0" applyBorder="1" applyAlignment="1">
      <alignment horizontal="left" vertical="center"/>
    </xf>
    <xf numFmtId="0" fontId="12" fillId="11" borderId="58" xfId="0" applyFont="1" applyFill="1" applyBorder="1" applyAlignment="1" applyProtection="1">
      <alignment horizontal="left" vertical="center"/>
      <protection locked="0"/>
    </xf>
    <xf numFmtId="0" fontId="0" fillId="0" borderId="69" xfId="0" applyBorder="1" applyAlignment="1">
      <alignment horizontal="left" vertical="center"/>
    </xf>
    <xf numFmtId="41" fontId="61" fillId="11" borderId="17" xfId="0" applyNumberFormat="1" applyFont="1" applyFill="1" applyBorder="1" applyAlignment="1" applyProtection="1">
      <alignment horizontal="center" vertical="center"/>
      <protection locked="0"/>
    </xf>
    <xf numFmtId="0" fontId="61" fillId="11" borderId="63" xfId="0" applyFont="1" applyFill="1" applyBorder="1" applyAlignment="1" applyProtection="1">
      <alignment horizontal="center" vertical="center"/>
      <protection locked="0"/>
    </xf>
    <xf numFmtId="41" fontId="61" fillId="11" borderId="18" xfId="0" applyNumberFormat="1" applyFont="1" applyFill="1" applyBorder="1" applyAlignment="1" applyProtection="1">
      <alignment horizontal="center" vertical="center"/>
      <protection locked="0"/>
    </xf>
    <xf numFmtId="0" fontId="61" fillId="11" borderId="12" xfId="0" applyFont="1" applyFill="1" applyBorder="1" applyAlignment="1" applyProtection="1">
      <alignment horizontal="center" vertical="center"/>
      <protection locked="0"/>
    </xf>
    <xf numFmtId="0" fontId="61" fillId="11" borderId="64" xfId="0" applyFont="1" applyFill="1" applyBorder="1" applyAlignment="1" applyProtection="1">
      <alignment horizontal="center" vertical="center"/>
      <protection locked="0"/>
    </xf>
    <xf numFmtId="41" fontId="6" fillId="0" borderId="19" xfId="0" applyNumberFormat="1" applyFont="1" applyBorder="1" applyAlignment="1" applyProtection="1">
      <alignment horizontal="center" vertical="center"/>
      <protection locked="0"/>
    </xf>
    <xf numFmtId="41" fontId="12" fillId="4" borderId="44" xfId="0" applyNumberFormat="1" applyFont="1" applyFill="1" applyBorder="1" applyAlignment="1">
      <alignment horizontal="center" vertical="center"/>
    </xf>
    <xf numFmtId="41" fontId="12" fillId="4" borderId="45" xfId="0" applyNumberFormat="1" applyFont="1" applyFill="1" applyBorder="1" applyAlignment="1">
      <alignment horizontal="center" vertical="center"/>
    </xf>
    <xf numFmtId="0" fontId="61" fillId="0" borderId="67" xfId="0" applyFont="1" applyBorder="1" applyAlignment="1" applyProtection="1">
      <alignment horizontal="center" vertical="center" wrapText="1"/>
      <protection locked="0"/>
    </xf>
    <xf numFmtId="0" fontId="61" fillId="0" borderId="22" xfId="0" applyFont="1" applyBorder="1" applyAlignment="1" applyProtection="1">
      <alignment horizontal="center" vertical="center" wrapText="1"/>
      <protection locked="0"/>
    </xf>
    <xf numFmtId="0" fontId="61" fillId="0" borderId="47" xfId="0" applyFont="1" applyBorder="1" applyAlignment="1" applyProtection="1">
      <alignment horizontal="center" vertical="center" wrapText="1"/>
      <protection locked="0"/>
    </xf>
    <xf numFmtId="0" fontId="61" fillId="0" borderId="12" xfId="0" applyFont="1" applyBorder="1" applyAlignment="1" applyProtection="1">
      <alignment horizontal="center" vertical="center" wrapText="1"/>
      <protection locked="0"/>
    </xf>
    <xf numFmtId="0" fontId="61" fillId="11" borderId="6" xfId="0" applyFont="1" applyFill="1" applyBorder="1" applyAlignment="1" applyProtection="1">
      <alignment horizontal="center" vertical="center"/>
      <protection locked="0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2" fillId="11" borderId="36" xfId="0" applyFont="1" applyFill="1" applyBorder="1" applyAlignment="1" applyProtection="1">
      <alignment horizontal="center" vertical="center"/>
      <protection locked="0"/>
    </xf>
    <xf numFmtId="0" fontId="61" fillId="11" borderId="46" xfId="0" applyFont="1" applyFill="1" applyBorder="1" applyAlignment="1" applyProtection="1">
      <alignment horizontal="center" vertical="center" wrapText="1"/>
      <protection locked="0"/>
    </xf>
    <xf numFmtId="0" fontId="61" fillId="11" borderId="6" xfId="0" applyFont="1" applyFill="1" applyBorder="1" applyAlignment="1" applyProtection="1">
      <alignment horizontal="center" vertical="center" wrapText="1"/>
      <protection locked="0"/>
    </xf>
    <xf numFmtId="0" fontId="12" fillId="0" borderId="56" xfId="0" applyFont="1" applyBorder="1" applyAlignment="1" applyProtection="1">
      <alignment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5" fillId="0" borderId="39" xfId="0" applyFont="1" applyBorder="1" applyAlignment="1" applyProtection="1">
      <alignment horizontal="center" vertical="center"/>
      <protection locked="0"/>
    </xf>
    <xf numFmtId="0" fontId="55" fillId="0" borderId="40" xfId="0" applyFont="1" applyBorder="1" applyAlignment="1" applyProtection="1">
      <alignment horizontal="center" vertical="center"/>
      <protection locked="0"/>
    </xf>
    <xf numFmtId="0" fontId="55" fillId="0" borderId="41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0" fontId="29" fillId="0" borderId="1" xfId="5" applyFont="1" applyBorder="1" applyAlignment="1" applyProtection="1">
      <alignment horizontal="center" vertical="center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8" fillId="0" borderId="37" xfId="0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 applyProtection="1">
      <alignment horizontal="center" vertical="center"/>
      <protection locked="0"/>
    </xf>
    <xf numFmtId="0" fontId="29" fillId="9" borderId="31" xfId="0" applyFont="1" applyFill="1" applyBorder="1" applyAlignment="1" applyProtection="1">
      <alignment horizontal="center" vertical="center"/>
      <protection locked="0"/>
    </xf>
    <xf numFmtId="0" fontId="29" fillId="9" borderId="37" xfId="0" applyFont="1" applyFill="1" applyBorder="1" applyAlignment="1" applyProtection="1">
      <alignment horizontal="center" vertical="center"/>
      <protection locked="0"/>
    </xf>
    <xf numFmtId="0" fontId="29" fillId="9" borderId="36" xfId="0" applyFont="1" applyFill="1" applyBorder="1" applyAlignment="1" applyProtection="1">
      <alignment horizontal="center" vertical="center"/>
      <protection locked="0"/>
    </xf>
    <xf numFmtId="41" fontId="12" fillId="0" borderId="2" xfId="0" applyNumberFormat="1" applyFont="1" applyBorder="1" applyAlignment="1">
      <alignment horizontal="center" vertical="center"/>
    </xf>
    <xf numFmtId="0" fontId="30" fillId="0" borderId="15" xfId="5" applyFont="1" applyBorder="1" applyAlignment="1" applyProtection="1">
      <alignment horizontal="center" vertical="center"/>
      <protection locked="0"/>
    </xf>
    <xf numFmtId="0" fontId="30" fillId="0" borderId="9" xfId="5" applyFont="1" applyBorder="1" applyAlignment="1" applyProtection="1">
      <alignment horizontal="center" vertical="center"/>
      <protection locked="0"/>
    </xf>
    <xf numFmtId="0" fontId="29" fillId="0" borderId="15" xfId="5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59" xfId="0" applyFont="1" applyBorder="1" applyAlignment="1" applyProtection="1">
      <alignment horizontal="left" vertical="center" wrapText="1"/>
      <protection locked="0"/>
    </xf>
    <xf numFmtId="0" fontId="0" fillId="0" borderId="60" xfId="0" applyBorder="1" applyAlignment="1">
      <alignment horizontal="left" vertical="center"/>
    </xf>
    <xf numFmtId="0" fontId="12" fillId="0" borderId="59" xfId="0" applyFont="1" applyBorder="1" applyAlignment="1" applyProtection="1">
      <alignment horizontal="left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29" fillId="0" borderId="31" xfId="5" applyFont="1" applyBorder="1" applyAlignment="1" applyProtection="1">
      <alignment horizontal="center" vertical="center" textRotation="255"/>
      <protection locked="0"/>
    </xf>
    <xf numFmtId="0" fontId="29" fillId="0" borderId="13" xfId="5" applyFont="1" applyBorder="1" applyAlignment="1" applyProtection="1">
      <alignment horizontal="center" vertical="center" textRotation="255"/>
      <protection locked="0"/>
    </xf>
    <xf numFmtId="0" fontId="29" fillId="0" borderId="10" xfId="5" applyFont="1" applyBorder="1" applyAlignment="1" applyProtection="1">
      <alignment horizontal="center" vertical="center" textRotation="255"/>
      <protection locked="0"/>
    </xf>
    <xf numFmtId="0" fontId="65" fillId="10" borderId="1" xfId="6" applyFont="1" applyFill="1" applyBorder="1" applyAlignment="1" applyProtection="1">
      <alignment horizontal="center" vertical="center"/>
      <protection locked="0"/>
    </xf>
    <xf numFmtId="0" fontId="66" fillId="10" borderId="2" xfId="6" applyFont="1" applyFill="1" applyBorder="1" applyAlignment="1" applyProtection="1">
      <alignment horizontal="center" vertical="center"/>
      <protection locked="0"/>
    </xf>
    <xf numFmtId="0" fontId="66" fillId="10" borderId="19" xfId="6" applyFont="1" applyFill="1" applyBorder="1" applyAlignment="1" applyProtection="1">
      <alignment horizontal="center" vertical="center"/>
      <protection locked="0"/>
    </xf>
    <xf numFmtId="0" fontId="29" fillId="4" borderId="31" xfId="5" applyFont="1" applyFill="1" applyBorder="1" applyAlignment="1" applyProtection="1">
      <alignment horizontal="center" vertical="center" textRotation="255"/>
      <protection locked="0"/>
    </xf>
    <xf numFmtId="0" fontId="29" fillId="4" borderId="13" xfId="5" applyFont="1" applyFill="1" applyBorder="1" applyAlignment="1" applyProtection="1">
      <alignment horizontal="center" vertical="center" textRotation="255"/>
      <protection locked="0"/>
    </xf>
    <xf numFmtId="0" fontId="29" fillId="4" borderId="10" xfId="5" applyFont="1" applyFill="1" applyBorder="1" applyAlignment="1" applyProtection="1">
      <alignment horizontal="center" vertical="center" textRotation="255"/>
      <protection locked="0"/>
    </xf>
    <xf numFmtId="0" fontId="29" fillId="0" borderId="32" xfId="5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9" fillId="0" borderId="2" xfId="5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9" fillId="0" borderId="2" xfId="5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5" fillId="10" borderId="2" xfId="6" applyFont="1" applyFill="1" applyBorder="1" applyAlignment="1" applyProtection="1">
      <alignment horizontal="center" vertical="center"/>
      <protection locked="0"/>
    </xf>
    <xf numFmtId="0" fontId="65" fillId="10" borderId="19" xfId="6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Border="1" applyAlignment="1">
      <alignment horizontal="center" vertical="center"/>
    </xf>
    <xf numFmtId="177" fontId="6" fillId="0" borderId="17" xfId="0" applyNumberFormat="1" applyFont="1" applyBorder="1" applyAlignment="1">
      <alignment horizontal="center" vertical="center"/>
    </xf>
    <xf numFmtId="177" fontId="47" fillId="0" borderId="52" xfId="0" applyNumberFormat="1" applyFont="1" applyBorder="1" applyAlignment="1">
      <alignment horizontal="center" vertical="center"/>
    </xf>
    <xf numFmtId="177" fontId="47" fillId="0" borderId="42" xfId="0" applyNumberFormat="1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56" fillId="4" borderId="0" xfId="0" applyFont="1" applyFill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67" fillId="4" borderId="49" xfId="0" applyFont="1" applyFill="1" applyBorder="1" applyAlignment="1" applyProtection="1">
      <alignment horizontal="center" vertical="center" wrapText="1"/>
      <protection locked="0"/>
    </xf>
    <xf numFmtId="0" fontId="67" fillId="4" borderId="50" xfId="0" applyFont="1" applyFill="1" applyBorder="1" applyAlignment="1" applyProtection="1">
      <alignment horizontal="center" vertical="center" wrapText="1"/>
      <protection locked="0"/>
    </xf>
    <xf numFmtId="0" fontId="26" fillId="4" borderId="37" xfId="5" applyFont="1" applyFill="1" applyBorder="1" applyAlignment="1" applyProtection="1">
      <alignment horizontal="center" vertical="center"/>
      <protection locked="0"/>
    </xf>
    <xf numFmtId="0" fontId="31" fillId="10" borderId="32" xfId="5" applyFont="1" applyFill="1" applyBorder="1" applyAlignment="1" applyProtection="1">
      <alignment horizontal="center" vertical="center"/>
      <protection locked="0"/>
    </xf>
    <xf numFmtId="0" fontId="31" fillId="10" borderId="33" xfId="5" applyFont="1" applyFill="1" applyBorder="1" applyAlignment="1" applyProtection="1">
      <alignment horizontal="center" vertical="center"/>
      <protection locked="0"/>
    </xf>
    <xf numFmtId="0" fontId="31" fillId="10" borderId="35" xfId="5" applyFont="1" applyFill="1" applyBorder="1" applyAlignment="1" applyProtection="1">
      <alignment horizontal="center" vertical="center"/>
      <protection locked="0"/>
    </xf>
    <xf numFmtId="0" fontId="29" fillId="4" borderId="37" xfId="5" applyFont="1" applyFill="1" applyBorder="1" applyAlignment="1" applyProtection="1">
      <alignment horizontal="center" vertical="center"/>
      <protection locked="0"/>
    </xf>
    <xf numFmtId="0" fontId="29" fillId="4" borderId="36" xfId="5" applyFont="1" applyFill="1" applyBorder="1" applyAlignment="1" applyProtection="1">
      <alignment horizontal="center" vertical="center"/>
      <protection locked="0"/>
    </xf>
    <xf numFmtId="0" fontId="29" fillId="0" borderId="19" xfId="5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9" borderId="2" xfId="0" applyFont="1" applyFill="1" applyBorder="1" applyAlignment="1" applyProtection="1">
      <alignment horizontal="center" vertical="center"/>
      <protection locked="0"/>
    </xf>
    <xf numFmtId="0" fontId="12" fillId="9" borderId="5" xfId="0" applyFont="1" applyFill="1" applyBorder="1" applyAlignment="1" applyProtection="1">
      <alignment horizontal="center" vertical="center"/>
      <protection locked="0"/>
    </xf>
    <xf numFmtId="0" fontId="12" fillId="9" borderId="8" xfId="0" applyFont="1" applyFill="1" applyBorder="1" applyAlignment="1" applyProtection="1">
      <alignment horizontal="center" vertical="center"/>
      <protection locked="0"/>
    </xf>
    <xf numFmtId="0" fontId="65" fillId="10" borderId="15" xfId="6" applyFont="1" applyFill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center" vertical="center"/>
    </xf>
    <xf numFmtId="41" fontId="0" fillId="0" borderId="0" xfId="0" applyNumberFormat="1" applyAlignment="1">
      <alignment horizontal="center"/>
    </xf>
    <xf numFmtId="41" fontId="0" fillId="4" borderId="0" xfId="0" applyNumberFormat="1" applyFill="1" applyAlignment="1">
      <alignment horizontal="center"/>
    </xf>
    <xf numFmtId="0" fontId="0" fillId="1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64" fillId="0" borderId="0" xfId="0" applyFont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41" fontId="23" fillId="0" borderId="0" xfId="0" applyNumberFormat="1" applyFont="1"/>
    <xf numFmtId="0" fontId="23" fillId="0" borderId="0" xfId="0" applyFont="1"/>
    <xf numFmtId="0" fontId="12" fillId="11" borderId="31" xfId="0" applyFont="1" applyFill="1" applyBorder="1" applyAlignment="1" applyProtection="1">
      <alignment horizontal="center" vertical="center"/>
      <protection locked="0"/>
    </xf>
    <xf numFmtId="0" fontId="48" fillId="11" borderId="54" xfId="0" applyFont="1" applyFill="1" applyBorder="1" applyAlignment="1">
      <alignment horizontal="center" vertical="center"/>
    </xf>
    <xf numFmtId="0" fontId="48" fillId="11" borderId="21" xfId="0" applyFont="1" applyFill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12" fillId="0" borderId="55" xfId="0" applyFont="1" applyBorder="1" applyAlignment="1" applyProtection="1">
      <alignment vertical="center"/>
      <protection locked="0"/>
    </xf>
    <xf numFmtId="0" fontId="0" fillId="0" borderId="5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12" fillId="0" borderId="13" xfId="0" applyFont="1" applyBorder="1" applyAlignment="1" applyProtection="1">
      <alignment vertical="center"/>
      <protection locked="0"/>
    </xf>
    <xf numFmtId="41" fontId="61" fillId="0" borderId="19" xfId="0" applyNumberFormat="1" applyFont="1" applyBorder="1" applyAlignment="1" applyProtection="1">
      <alignment horizontal="center" vertical="center"/>
      <protection locked="0"/>
    </xf>
    <xf numFmtId="41" fontId="61" fillId="0" borderId="14" xfId="0" applyNumberFormat="1" applyFont="1" applyBorder="1" applyAlignment="1" applyProtection="1">
      <alignment horizontal="center" vertical="center"/>
      <protection locked="0"/>
    </xf>
    <xf numFmtId="0" fontId="61" fillId="11" borderId="47" xfId="0" applyFont="1" applyFill="1" applyBorder="1" applyAlignment="1" applyProtection="1">
      <alignment horizontal="center" vertical="center" wrapText="1"/>
      <protection locked="0"/>
    </xf>
    <xf numFmtId="0" fontId="61" fillId="11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12" fillId="0" borderId="13" xfId="0" applyFont="1" applyBorder="1" applyAlignment="1" applyProtection="1">
      <alignment horizontal="center" vertical="center"/>
      <protection locked="0"/>
    </xf>
    <xf numFmtId="0" fontId="48" fillId="0" borderId="48" xfId="0" applyFont="1" applyBorder="1" applyAlignment="1">
      <alignment horizontal="center" vertical="center"/>
    </xf>
    <xf numFmtId="0" fontId="48" fillId="0" borderId="46" xfId="0" applyFont="1" applyBorder="1" applyAlignment="1">
      <alignment horizontal="center" vertical="center"/>
    </xf>
    <xf numFmtId="0" fontId="48" fillId="0" borderId="47" xfId="0" applyFont="1" applyBorder="1" applyAlignment="1">
      <alignment horizontal="center" vertical="center"/>
    </xf>
    <xf numFmtId="0" fontId="12" fillId="0" borderId="65" xfId="0" applyFont="1" applyBorder="1" applyAlignment="1" applyProtection="1">
      <alignment horizontal="left" vertical="center" wrapText="1"/>
      <protection locked="0"/>
    </xf>
    <xf numFmtId="0" fontId="0" fillId="0" borderId="66" xfId="0" applyBorder="1" applyAlignment="1">
      <alignment horizontal="left" vertical="center"/>
    </xf>
    <xf numFmtId="0" fontId="12" fillId="0" borderId="62" xfId="0" applyFont="1" applyBorder="1" applyAlignment="1" applyProtection="1">
      <alignment horizontal="left" vertical="center"/>
      <protection locked="0"/>
    </xf>
    <xf numFmtId="41" fontId="23" fillId="4" borderId="0" xfId="0" applyNumberFormat="1" applyFont="1" applyFill="1" applyAlignment="1">
      <alignment horizontal="center"/>
    </xf>
    <xf numFmtId="0" fontId="44" fillId="0" borderId="0" xfId="0" applyFont="1" applyAlignment="1" applyProtection="1">
      <alignment horizontal="center" vertical="center"/>
      <protection locked="0"/>
    </xf>
    <xf numFmtId="41" fontId="23" fillId="0" borderId="0" xfId="0" applyNumberFormat="1" applyFont="1" applyAlignment="1">
      <alignment horizontal="center"/>
    </xf>
    <xf numFmtId="41" fontId="0" fillId="14" borderId="0" xfId="0" applyNumberFormat="1" applyFill="1" applyAlignment="1">
      <alignment horizontal="center" vertical="center"/>
    </xf>
    <xf numFmtId="41" fontId="0" fillId="9" borderId="0" xfId="0" applyNumberFormat="1" applyFill="1" applyAlignment="1">
      <alignment horizontal="center"/>
    </xf>
    <xf numFmtId="41" fontId="23" fillId="9" borderId="0" xfId="0" applyNumberFormat="1" applyFont="1" applyFill="1" applyAlignment="1">
      <alignment horizontal="center"/>
    </xf>
    <xf numFmtId="41" fontId="48" fillId="11" borderId="29" xfId="0" applyNumberFormat="1" applyFont="1" applyFill="1" applyBorder="1" applyAlignment="1" applyProtection="1">
      <alignment horizontal="center" vertical="center"/>
      <protection locked="0"/>
    </xf>
    <xf numFmtId="41" fontId="42" fillId="11" borderId="79" xfId="0" applyNumberFormat="1" applyFont="1" applyFill="1" applyBorder="1" applyAlignment="1">
      <alignment horizontal="center" vertical="center"/>
    </xf>
    <xf numFmtId="41" fontId="42" fillId="11" borderId="71" xfId="0" applyNumberFormat="1" applyFont="1" applyFill="1" applyBorder="1" applyAlignment="1">
      <alignment horizontal="center" vertical="center"/>
    </xf>
    <xf numFmtId="41" fontId="42" fillId="11" borderId="3" xfId="0" applyNumberFormat="1" applyFont="1" applyFill="1" applyBorder="1" applyAlignment="1">
      <alignment horizontal="center" vertical="center"/>
    </xf>
    <xf numFmtId="41" fontId="42" fillId="11" borderId="30" xfId="0" applyNumberFormat="1" applyFont="1" applyFill="1" applyBorder="1" applyAlignment="1">
      <alignment horizontal="center" vertical="center"/>
    </xf>
    <xf numFmtId="41" fontId="42" fillId="11" borderId="76" xfId="0" applyNumberFormat="1" applyFont="1" applyFill="1" applyBorder="1" applyAlignment="1">
      <alignment horizontal="center" vertical="center"/>
    </xf>
    <xf numFmtId="0" fontId="79" fillId="11" borderId="1" xfId="0" applyFont="1" applyFill="1" applyBorder="1" applyAlignment="1" applyProtection="1">
      <alignment horizontal="center" vertical="center" wrapText="1"/>
      <protection locked="0"/>
    </xf>
    <xf numFmtId="0" fontId="0" fillId="11" borderId="1" xfId="0" applyFill="1" applyBorder="1" applyAlignment="1">
      <alignment horizontal="center" vertical="center" wrapText="1"/>
    </xf>
    <xf numFmtId="41" fontId="48" fillId="11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>
      <alignment horizontal="center" vertical="center"/>
    </xf>
    <xf numFmtId="0" fontId="12" fillId="11" borderId="17" xfId="0" applyFont="1" applyFill="1" applyBorder="1" applyAlignment="1" applyProtection="1">
      <alignment horizontal="center" vertical="center"/>
      <protection locked="0"/>
    </xf>
    <xf numFmtId="0" fontId="12" fillId="11" borderId="26" xfId="0" applyFont="1" applyFill="1" applyBorder="1" applyAlignment="1" applyProtection="1">
      <alignment horizontal="center" vertical="center"/>
      <protection locked="0"/>
    </xf>
    <xf numFmtId="0" fontId="61" fillId="11" borderId="26" xfId="0" applyFont="1" applyFill="1" applyBorder="1" applyAlignment="1">
      <alignment horizontal="center" vertical="center"/>
    </xf>
    <xf numFmtId="0" fontId="61" fillId="11" borderId="6" xfId="0" applyFont="1" applyFill="1" applyBorder="1" applyAlignment="1">
      <alignment horizontal="center" vertical="center"/>
    </xf>
    <xf numFmtId="41" fontId="48" fillId="11" borderId="71" xfId="0" applyNumberFormat="1" applyFont="1" applyFill="1" applyBorder="1" applyAlignment="1" applyProtection="1">
      <alignment horizontal="center" vertical="center"/>
      <protection locked="0"/>
    </xf>
    <xf numFmtId="0" fontId="0" fillId="11" borderId="17" xfId="0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/>
    </xf>
    <xf numFmtId="41" fontId="12" fillId="11" borderId="44" xfId="0" applyNumberFormat="1" applyFont="1" applyFill="1" applyBorder="1" applyAlignment="1" applyProtection="1">
      <alignment horizontal="center" vertical="center"/>
      <protection locked="0"/>
    </xf>
    <xf numFmtId="0" fontId="0" fillId="11" borderId="45" xfId="0" applyFill="1" applyBorder="1" applyAlignment="1">
      <alignment horizontal="center" vertical="center"/>
    </xf>
    <xf numFmtId="0" fontId="61" fillId="11" borderId="63" xfId="0" applyFont="1" applyFill="1" applyBorder="1" applyAlignment="1">
      <alignment horizontal="center" vertical="center"/>
    </xf>
    <xf numFmtId="41" fontId="42" fillId="11" borderId="77" xfId="0" applyNumberFormat="1" applyFont="1" applyFill="1" applyBorder="1" applyAlignment="1">
      <alignment horizontal="center" vertical="center"/>
    </xf>
    <xf numFmtId="41" fontId="42" fillId="11" borderId="78" xfId="0" applyNumberFormat="1" applyFont="1" applyFill="1" applyBorder="1" applyAlignment="1">
      <alignment horizontal="center" vertical="center"/>
    </xf>
    <xf numFmtId="0" fontId="82" fillId="11" borderId="48" xfId="0" applyFont="1" applyFill="1" applyBorder="1" applyAlignment="1" applyProtection="1">
      <alignment horizontal="center" vertical="center" wrapText="1"/>
      <protection locked="0"/>
    </xf>
    <xf numFmtId="0" fontId="0" fillId="11" borderId="80" xfId="0" applyFill="1" applyBorder="1" applyAlignment="1">
      <alignment horizontal="center" vertical="center" wrapText="1"/>
    </xf>
    <xf numFmtId="0" fontId="0" fillId="11" borderId="81" xfId="0" applyFill="1" applyBorder="1" applyAlignment="1">
      <alignment horizontal="center" vertical="center" wrapText="1"/>
    </xf>
    <xf numFmtId="41" fontId="11" fillId="11" borderId="70" xfId="0" applyNumberFormat="1" applyFont="1" applyFill="1" applyBorder="1" applyAlignment="1" applyProtection="1">
      <alignment horizontal="center" vertical="center"/>
      <protection locked="0"/>
    </xf>
    <xf numFmtId="0" fontId="0" fillId="11" borderId="61" xfId="0" applyFill="1" applyBorder="1" applyAlignment="1">
      <alignment horizontal="center" vertical="center"/>
    </xf>
    <xf numFmtId="0" fontId="0" fillId="11" borderId="71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77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center"/>
    </xf>
    <xf numFmtId="0" fontId="55" fillId="11" borderId="32" xfId="0" applyFont="1" applyFill="1" applyBorder="1" applyAlignment="1" applyProtection="1">
      <alignment horizontal="center" vertical="center"/>
      <protection locked="0"/>
    </xf>
    <xf numFmtId="0" fontId="0" fillId="11" borderId="34" xfId="0" applyFill="1" applyBorder="1" applyAlignment="1">
      <alignment horizontal="center" vertical="center"/>
    </xf>
    <xf numFmtId="0" fontId="6" fillId="11" borderId="70" xfId="0" applyFont="1" applyFill="1" applyBorder="1" applyAlignment="1" applyProtection="1">
      <alignment horizontal="center" vertical="center" wrapText="1"/>
      <protection locked="0"/>
    </xf>
    <xf numFmtId="0" fontId="0" fillId="11" borderId="30" xfId="0" applyFill="1" applyBorder="1" applyAlignment="1">
      <alignment horizontal="center" vertical="center"/>
    </xf>
    <xf numFmtId="0" fontId="0" fillId="11" borderId="76" xfId="0" applyFill="1" applyBorder="1" applyAlignment="1">
      <alignment horizontal="center" vertical="center"/>
    </xf>
    <xf numFmtId="41" fontId="15" fillId="11" borderId="1" xfId="0" applyNumberFormat="1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center" vertical="center"/>
      <protection locked="0"/>
    </xf>
    <xf numFmtId="0" fontId="12" fillId="11" borderId="4" xfId="0" applyFont="1" applyFill="1" applyBorder="1" applyAlignment="1" applyProtection="1">
      <alignment horizontal="center" vertical="center"/>
      <protection locked="0"/>
    </xf>
    <xf numFmtId="41" fontId="12" fillId="11" borderId="1" xfId="0" applyNumberFormat="1" applyFont="1" applyFill="1" applyBorder="1" applyAlignment="1" applyProtection="1">
      <alignment horizontal="center" vertical="center"/>
      <protection locked="0"/>
    </xf>
    <xf numFmtId="41" fontId="5" fillId="11" borderId="1" xfId="0" applyNumberFormat="1" applyFont="1" applyFill="1" applyBorder="1" applyAlignment="1">
      <alignment horizontal="center" vertical="center"/>
    </xf>
    <xf numFmtId="41" fontId="6" fillId="11" borderId="2" xfId="0" applyNumberFormat="1" applyFont="1" applyFill="1" applyBorder="1" applyAlignment="1" applyProtection="1">
      <alignment horizontal="center" vertical="center"/>
      <protection locked="0"/>
    </xf>
    <xf numFmtId="0" fontId="5" fillId="11" borderId="2" xfId="0" applyFont="1" applyFill="1" applyBorder="1" applyAlignment="1">
      <alignment horizontal="center" vertical="center"/>
    </xf>
    <xf numFmtId="0" fontId="26" fillId="11" borderId="31" xfId="0" applyFont="1" applyFill="1" applyBorder="1" applyAlignment="1" applyProtection="1">
      <alignment horizontal="center" vertical="center" textRotation="255"/>
      <protection locked="0"/>
    </xf>
    <xf numFmtId="0" fontId="26" fillId="11" borderId="13" xfId="0" applyFont="1" applyFill="1" applyBorder="1" applyAlignment="1" applyProtection="1">
      <alignment horizontal="center" vertical="center" textRotation="255"/>
      <protection locked="0"/>
    </xf>
    <xf numFmtId="0" fontId="26" fillId="11" borderId="10" xfId="0" applyFont="1" applyFill="1" applyBorder="1" applyAlignment="1" applyProtection="1">
      <alignment horizontal="center" vertical="center" textRotation="255"/>
      <protection locked="0"/>
    </xf>
    <xf numFmtId="0" fontId="12" fillId="11" borderId="83" xfId="0" applyFont="1" applyFill="1" applyBorder="1" applyAlignment="1" applyProtection="1">
      <alignment horizontal="left" vertical="center" wrapText="1"/>
      <protection locked="0"/>
    </xf>
    <xf numFmtId="0" fontId="0" fillId="11" borderId="83" xfId="0" applyFill="1" applyBorder="1" applyAlignment="1">
      <alignment horizontal="left" vertical="center"/>
    </xf>
    <xf numFmtId="0" fontId="12" fillId="11" borderId="59" xfId="0" applyFont="1" applyFill="1" applyBorder="1" applyAlignment="1" applyProtection="1">
      <alignment horizontal="left" vertical="center"/>
      <protection locked="0"/>
    </xf>
    <xf numFmtId="0" fontId="0" fillId="11" borderId="59" xfId="0" applyFill="1" applyBorder="1" applyAlignment="1">
      <alignment horizontal="left" vertical="center"/>
    </xf>
    <xf numFmtId="0" fontId="55" fillId="11" borderId="37" xfId="0" applyFont="1" applyFill="1" applyBorder="1" applyAlignment="1" applyProtection="1">
      <alignment horizontal="center" vertical="center"/>
      <protection locked="0"/>
    </xf>
    <xf numFmtId="0" fontId="0" fillId="11" borderId="36" xfId="0" applyFill="1" applyBorder="1" applyAlignment="1">
      <alignment horizontal="center" vertical="center"/>
    </xf>
    <xf numFmtId="0" fontId="12" fillId="11" borderId="1" xfId="0" applyFont="1" applyFill="1" applyBorder="1" applyAlignment="1" applyProtection="1">
      <alignment horizontal="center" vertical="center" wrapText="1"/>
      <protection locked="0"/>
    </xf>
    <xf numFmtId="0" fontId="12" fillId="11" borderId="2" xfId="0" applyFont="1" applyFill="1" applyBorder="1" applyAlignment="1" applyProtection="1">
      <alignment horizontal="center" vertical="center" wrapText="1"/>
      <protection locked="0"/>
    </xf>
    <xf numFmtId="0" fontId="0" fillId="11" borderId="2" xfId="0" applyFill="1" applyBorder="1" applyAlignment="1">
      <alignment horizontal="center" vertical="center" wrapText="1"/>
    </xf>
    <xf numFmtId="0" fontId="76" fillId="11" borderId="48" xfId="5" applyFont="1" applyFill="1" applyBorder="1" applyAlignment="1" applyProtection="1">
      <alignment horizontal="center" vertical="center" textRotation="255"/>
      <protection locked="0"/>
    </xf>
    <xf numFmtId="0" fontId="76" fillId="11" borderId="80" xfId="5" applyFont="1" applyFill="1" applyBorder="1" applyAlignment="1" applyProtection="1">
      <alignment horizontal="center" vertical="center" textRotation="255"/>
      <protection locked="0"/>
    </xf>
    <xf numFmtId="0" fontId="76" fillId="11" borderId="81" xfId="5" applyFont="1" applyFill="1" applyBorder="1" applyAlignment="1" applyProtection="1">
      <alignment horizontal="center" vertical="center" textRotation="255"/>
      <protection locked="0"/>
    </xf>
    <xf numFmtId="0" fontId="12" fillId="11" borderId="72" xfId="0" applyFont="1" applyFill="1" applyBorder="1" applyAlignment="1" applyProtection="1">
      <alignment horizontal="left" vertical="center" wrapText="1"/>
      <protection locked="0"/>
    </xf>
    <xf numFmtId="0" fontId="0" fillId="11" borderId="73" xfId="0" applyFill="1" applyBorder="1" applyAlignment="1">
      <alignment horizontal="left" vertical="center"/>
    </xf>
    <xf numFmtId="0" fontId="12" fillId="11" borderId="74" xfId="0" applyFont="1" applyFill="1" applyBorder="1" applyAlignment="1" applyProtection="1">
      <alignment horizontal="left" vertical="center"/>
      <protection locked="0"/>
    </xf>
    <xf numFmtId="0" fontId="0" fillId="11" borderId="75" xfId="0" applyFill="1" applyBorder="1" applyAlignment="1">
      <alignment horizontal="left" vertical="center"/>
    </xf>
    <xf numFmtId="41" fontId="6" fillId="0" borderId="18" xfId="0" applyNumberFormat="1" applyFont="1" applyBorder="1" applyAlignment="1" applyProtection="1">
      <alignment horizontal="center" vertical="center"/>
      <protection locked="0"/>
    </xf>
    <xf numFmtId="41" fontId="6" fillId="0" borderId="14" xfId="0" applyNumberFormat="1" applyFont="1" applyBorder="1" applyAlignment="1" applyProtection="1">
      <alignment horizontal="center" vertical="center"/>
      <protection locked="0"/>
    </xf>
    <xf numFmtId="41" fontId="6" fillId="0" borderId="7" xfId="0" applyNumberFormat="1" applyFont="1" applyBorder="1" applyAlignment="1" applyProtection="1">
      <alignment horizontal="center" vertical="center"/>
      <protection locked="0"/>
    </xf>
    <xf numFmtId="0" fontId="48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2" fillId="11" borderId="82" xfId="0" applyFont="1" applyFill="1" applyBorder="1" applyAlignment="1" applyProtection="1">
      <alignment horizontal="center" vertical="center" wrapText="1"/>
      <protection locked="0"/>
    </xf>
    <xf numFmtId="0" fontId="0" fillId="11" borderId="45" xfId="0" applyFill="1" applyBorder="1" applyAlignment="1">
      <alignment horizontal="center" vertical="center" wrapText="1"/>
    </xf>
    <xf numFmtId="0" fontId="29" fillId="4" borderId="32" xfId="5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12" fillId="4" borderId="82" xfId="0" applyFont="1" applyFill="1" applyBorder="1" applyAlignment="1" applyProtection="1">
      <alignment horizontal="center" vertical="center" wrapText="1"/>
      <protection locked="0"/>
    </xf>
    <xf numFmtId="0" fontId="0" fillId="0" borderId="45" xfId="0" applyBorder="1" applyAlignment="1">
      <alignment horizontal="center" vertical="center" wrapText="1"/>
    </xf>
    <xf numFmtId="41" fontId="12" fillId="4" borderId="44" xfId="0" applyNumberFormat="1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41" fontId="15" fillId="1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1" fontId="48" fillId="0" borderId="29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1" fontId="48" fillId="0" borderId="1" xfId="0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41" fontId="11" fillId="0" borderId="70" xfId="0" applyNumberFormat="1" applyFont="1" applyBorder="1" applyAlignment="1" applyProtection="1">
      <alignment horizontal="center"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26" fillId="4" borderId="32" xfId="5" applyFont="1" applyFill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7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82" fillId="0" borderId="48" xfId="0" applyFont="1" applyBorder="1" applyAlignment="1" applyProtection="1">
      <alignment horizontal="center" vertical="center" wrapText="1"/>
      <protection locked="0"/>
    </xf>
    <xf numFmtId="0" fontId="0" fillId="0" borderId="8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41" fontId="12" fillId="0" borderId="17" xfId="0" applyNumberFormat="1" applyFont="1" applyBorder="1" applyAlignment="1" applyProtection="1">
      <alignment horizontal="center" vertical="center"/>
      <protection locked="0"/>
    </xf>
    <xf numFmtId="41" fontId="5" fillId="0" borderId="6" xfId="0" applyNumberFormat="1" applyFont="1" applyBorder="1" applyAlignment="1">
      <alignment horizontal="center" vertical="center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77" fillId="10" borderId="2" xfId="6" applyFont="1" applyFill="1" applyBorder="1" applyAlignment="1" applyProtection="1">
      <alignment horizontal="center" vertical="center"/>
      <protection locked="0"/>
    </xf>
    <xf numFmtId="0" fontId="77" fillId="10" borderId="19" xfId="6" applyFont="1" applyFill="1" applyBorder="1" applyAlignment="1" applyProtection="1">
      <alignment horizontal="center" vertical="center"/>
      <protection locked="0"/>
    </xf>
    <xf numFmtId="0" fontId="12" fillId="9" borderId="17" xfId="0" applyFont="1" applyFill="1" applyBorder="1" applyAlignment="1" applyProtection="1">
      <alignment horizontal="center" vertical="center"/>
      <protection locked="0"/>
    </xf>
    <xf numFmtId="0" fontId="12" fillId="9" borderId="26" xfId="0" applyFont="1" applyFill="1" applyBorder="1" applyAlignment="1" applyProtection="1">
      <alignment horizontal="center" vertical="center"/>
      <protection locked="0"/>
    </xf>
    <xf numFmtId="0" fontId="61" fillId="9" borderId="26" xfId="0" applyFont="1" applyFill="1" applyBorder="1" applyAlignment="1">
      <alignment horizontal="center" vertical="center"/>
    </xf>
    <xf numFmtId="0" fontId="61" fillId="9" borderId="6" xfId="0" applyFont="1" applyFill="1" applyBorder="1" applyAlignment="1">
      <alignment horizontal="center" vertical="center"/>
    </xf>
    <xf numFmtId="0" fontId="6" fillId="0" borderId="70" xfId="0" applyFont="1" applyBorder="1" applyAlignment="1" applyProtection="1">
      <alignment horizontal="center" vertical="center" wrapText="1"/>
      <protection locked="0"/>
    </xf>
    <xf numFmtId="0" fontId="0" fillId="0" borderId="76" xfId="0" applyBorder="1" applyAlignment="1">
      <alignment horizontal="center" vertical="center"/>
    </xf>
    <xf numFmtId="0" fontId="55" fillId="0" borderId="32" xfId="0" applyFont="1" applyBorder="1" applyAlignment="1" applyProtection="1">
      <alignment horizontal="center" vertical="center"/>
      <protection locked="0"/>
    </xf>
    <xf numFmtId="41" fontId="12" fillId="0" borderId="29" xfId="0" applyNumberFormat="1" applyFont="1" applyBorder="1" applyAlignment="1" applyProtection="1">
      <alignment horizontal="center" vertical="center"/>
      <protection locked="0"/>
    </xf>
    <xf numFmtId="41" fontId="0" fillId="0" borderId="79" xfId="0" applyNumberFormat="1" applyBorder="1" applyAlignment="1">
      <alignment horizontal="center" vertical="center"/>
    </xf>
    <xf numFmtId="41" fontId="0" fillId="0" borderId="71" xfId="0" applyNumberFormat="1" applyBorder="1" applyAlignment="1">
      <alignment horizontal="center" vertical="center"/>
    </xf>
    <xf numFmtId="41" fontId="0" fillId="0" borderId="3" xfId="0" applyNumberFormat="1" applyBorder="1" applyAlignment="1">
      <alignment horizontal="center" vertical="center"/>
    </xf>
    <xf numFmtId="41" fontId="0" fillId="0" borderId="30" xfId="0" applyNumberFormat="1" applyBorder="1" applyAlignment="1">
      <alignment horizontal="center" vertical="center"/>
    </xf>
    <xf numFmtId="41" fontId="0" fillId="0" borderId="76" xfId="0" applyNumberFormat="1" applyBorder="1" applyAlignment="1">
      <alignment horizontal="center" vertical="center"/>
    </xf>
    <xf numFmtId="41" fontId="12" fillId="0" borderId="71" xfId="0" applyNumberFormat="1" applyFont="1" applyBorder="1" applyAlignment="1" applyProtection="1">
      <alignment horizontal="center" vertical="center"/>
      <protection locked="0"/>
    </xf>
    <xf numFmtId="41" fontId="0" fillId="0" borderId="77" xfId="0" applyNumberFormat="1" applyBorder="1" applyAlignment="1">
      <alignment horizontal="center" vertical="center"/>
    </xf>
    <xf numFmtId="41" fontId="0" fillId="0" borderId="78" xfId="0" applyNumberFormat="1" applyBorder="1" applyAlignment="1">
      <alignment horizontal="center" vertical="center"/>
    </xf>
    <xf numFmtId="0" fontId="76" fillId="9" borderId="48" xfId="5" applyFont="1" applyFill="1" applyBorder="1" applyAlignment="1" applyProtection="1">
      <alignment horizontal="center" vertical="center" textRotation="255"/>
      <protection locked="0"/>
    </xf>
    <xf numFmtId="0" fontId="76" fillId="9" borderId="80" xfId="5" applyFont="1" applyFill="1" applyBorder="1" applyAlignment="1" applyProtection="1">
      <alignment horizontal="center" vertical="center" textRotation="255"/>
      <protection locked="0"/>
    </xf>
    <xf numFmtId="0" fontId="76" fillId="9" borderId="81" xfId="5" applyFont="1" applyFill="1" applyBorder="1" applyAlignment="1" applyProtection="1">
      <alignment horizontal="center" vertical="center" textRotation="255"/>
      <protection locked="0"/>
    </xf>
    <xf numFmtId="0" fontId="26" fillId="0" borderId="48" xfId="0" applyFont="1" applyBorder="1" applyAlignment="1" applyProtection="1">
      <alignment horizontal="center" vertical="center" textRotation="255"/>
      <protection locked="0"/>
    </xf>
    <xf numFmtId="0" fontId="26" fillId="0" borderId="80" xfId="0" applyFont="1" applyBorder="1" applyAlignment="1" applyProtection="1">
      <alignment horizontal="center" vertical="center" textRotation="255"/>
      <protection locked="0"/>
    </xf>
    <xf numFmtId="0" fontId="26" fillId="0" borderId="81" xfId="0" applyFont="1" applyBorder="1" applyAlignment="1" applyProtection="1">
      <alignment horizontal="center" vertical="center" textRotation="255"/>
      <protection locked="0"/>
    </xf>
    <xf numFmtId="0" fontId="55" fillId="0" borderId="34" xfId="0" applyFont="1" applyBorder="1" applyAlignment="1" applyProtection="1">
      <alignment horizontal="center" vertical="center"/>
      <protection locked="0"/>
    </xf>
    <xf numFmtId="0" fontId="61" fillId="9" borderId="63" xfId="0" applyFont="1" applyFill="1" applyBorder="1" applyAlignment="1">
      <alignment horizontal="center" vertical="center"/>
    </xf>
    <xf numFmtId="0" fontId="12" fillId="0" borderId="72" xfId="0" applyFont="1" applyBorder="1" applyAlignment="1" applyProtection="1">
      <alignment horizontal="left" vertical="center" wrapText="1"/>
      <protection locked="0"/>
    </xf>
    <xf numFmtId="0" fontId="0" fillId="0" borderId="73" xfId="0" applyBorder="1" applyAlignment="1">
      <alignment horizontal="left" vertical="center"/>
    </xf>
    <xf numFmtId="0" fontId="12" fillId="0" borderId="74" xfId="0" applyFont="1" applyBorder="1" applyAlignment="1" applyProtection="1">
      <alignment horizontal="left" vertical="center"/>
      <protection locked="0"/>
    </xf>
    <xf numFmtId="0" fontId="0" fillId="0" borderId="75" xfId="0" applyBorder="1" applyAlignment="1">
      <alignment horizontal="left" vertical="center"/>
    </xf>
    <xf numFmtId="0" fontId="12" fillId="9" borderId="72" xfId="0" applyFont="1" applyFill="1" applyBorder="1" applyAlignment="1" applyProtection="1">
      <alignment horizontal="left" vertical="center" wrapText="1"/>
      <protection locked="0"/>
    </xf>
    <xf numFmtId="0" fontId="0" fillId="9" borderId="73" xfId="0" applyFill="1" applyBorder="1" applyAlignment="1">
      <alignment horizontal="left" vertical="center"/>
    </xf>
    <xf numFmtId="0" fontId="12" fillId="9" borderId="74" xfId="0" applyFont="1" applyFill="1" applyBorder="1" applyAlignment="1" applyProtection="1">
      <alignment horizontal="left" vertical="center"/>
      <protection locked="0"/>
    </xf>
    <xf numFmtId="0" fontId="0" fillId="9" borderId="75" xfId="0" applyFill="1" applyBorder="1" applyAlignment="1">
      <alignment horizontal="left" vertical="center"/>
    </xf>
    <xf numFmtId="0" fontId="73" fillId="2" borderId="0" xfId="0" applyFont="1" applyFill="1" applyAlignment="1" applyProtection="1">
      <alignment horizontal="left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29" fillId="0" borderId="48" xfId="5" applyFont="1" applyBorder="1" applyAlignment="1" applyProtection="1">
      <alignment horizontal="center" vertical="center" textRotation="255"/>
      <protection locked="0"/>
    </xf>
    <xf numFmtId="0" fontId="29" fillId="0" borderId="80" xfId="5" applyFont="1" applyBorder="1" applyAlignment="1" applyProtection="1">
      <alignment horizontal="center" vertical="center" textRotation="255"/>
      <protection locked="0"/>
    </xf>
    <xf numFmtId="0" fontId="29" fillId="0" borderId="81" xfId="5" applyFont="1" applyBorder="1" applyAlignment="1" applyProtection="1">
      <alignment horizontal="center" vertical="center" textRotation="255"/>
      <protection locked="0"/>
    </xf>
    <xf numFmtId="0" fontId="29" fillId="0" borderId="33" xfId="5" applyFont="1" applyBorder="1" applyAlignment="1" applyProtection="1">
      <alignment horizontal="center" vertical="center"/>
      <protection locked="0"/>
    </xf>
    <xf numFmtId="0" fontId="29" fillId="0" borderId="34" xfId="5" applyFont="1" applyBorder="1" applyAlignment="1" applyProtection="1">
      <alignment horizontal="center" vertical="center"/>
      <protection locked="0"/>
    </xf>
    <xf numFmtId="0" fontId="29" fillId="4" borderId="48" xfId="5" applyFont="1" applyFill="1" applyBorder="1" applyAlignment="1" applyProtection="1">
      <alignment horizontal="center" vertical="center" textRotation="255"/>
      <protection locked="0"/>
    </xf>
    <xf numFmtId="0" fontId="29" fillId="4" borderId="80" xfId="5" applyFont="1" applyFill="1" applyBorder="1" applyAlignment="1" applyProtection="1">
      <alignment horizontal="center" vertical="center" textRotation="255"/>
      <protection locked="0"/>
    </xf>
    <xf numFmtId="0" fontId="29" fillId="4" borderId="81" xfId="5" applyFont="1" applyFill="1" applyBorder="1" applyAlignment="1" applyProtection="1">
      <alignment horizontal="center" vertical="center" textRotation="255"/>
      <protection locked="0"/>
    </xf>
    <xf numFmtId="0" fontId="29" fillId="0" borderId="5" xfId="5" applyFont="1" applyBorder="1" applyAlignment="1" applyProtection="1">
      <alignment horizontal="center" vertical="center"/>
      <protection locked="0"/>
    </xf>
    <xf numFmtId="0" fontId="42" fillId="10" borderId="2" xfId="6" applyFont="1" applyFill="1" applyBorder="1" applyAlignment="1" applyProtection="1">
      <alignment horizontal="center" vertical="center"/>
      <protection locked="0"/>
    </xf>
    <xf numFmtId="0" fontId="42" fillId="10" borderId="19" xfId="6" applyFont="1" applyFill="1" applyBorder="1" applyAlignment="1" applyProtection="1">
      <alignment horizontal="center" vertical="center"/>
      <protection locked="0"/>
    </xf>
    <xf numFmtId="0" fontId="29" fillId="0" borderId="16" xfId="5" applyFont="1" applyBorder="1" applyAlignment="1" applyProtection="1">
      <alignment horizontal="center" vertical="center"/>
      <protection locked="0"/>
    </xf>
    <xf numFmtId="0" fontId="29" fillId="0" borderId="9" xfId="5" applyFont="1" applyBorder="1" applyAlignment="1" applyProtection="1">
      <alignment horizontal="center" vertical="center"/>
      <protection locked="0"/>
    </xf>
    <xf numFmtId="0" fontId="41" fillId="8" borderId="29" xfId="1" applyFont="1" applyFill="1" applyBorder="1" applyAlignment="1">
      <alignment horizontal="center" vertical="center" wrapText="1"/>
    </xf>
    <xf numFmtId="0" fontId="41" fillId="8" borderId="23" xfId="1" applyFont="1" applyFill="1" applyBorder="1" applyAlignment="1">
      <alignment horizontal="center" vertical="center" wrapText="1"/>
    </xf>
    <xf numFmtId="0" fontId="41" fillId="8" borderId="7" xfId="1" applyFont="1" applyFill="1" applyBorder="1" applyAlignment="1">
      <alignment horizontal="center" vertical="center" wrapText="1"/>
    </xf>
    <xf numFmtId="0" fontId="41" fillId="8" borderId="30" xfId="1" applyFont="1" applyFill="1" applyBorder="1" applyAlignment="1">
      <alignment horizontal="center" vertical="center" wrapText="1"/>
    </xf>
    <xf numFmtId="0" fontId="41" fillId="8" borderId="20" xfId="1" applyFont="1" applyFill="1" applyBorder="1" applyAlignment="1">
      <alignment horizontal="center" vertical="center" wrapText="1"/>
    </xf>
    <xf numFmtId="0" fontId="41" fillId="8" borderId="22" xfId="1" applyFont="1" applyFill="1" applyBorder="1" applyAlignment="1">
      <alignment horizontal="center" vertical="center" wrapText="1"/>
    </xf>
    <xf numFmtId="0" fontId="8" fillId="8" borderId="2" xfId="1" applyFont="1" applyFill="1" applyBorder="1" applyAlignment="1">
      <alignment horizontal="center" vertical="center" wrapText="1"/>
    </xf>
    <xf numFmtId="0" fontId="8" fillId="8" borderId="19" xfId="1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 wrapText="1"/>
      <protection locked="0"/>
    </xf>
    <xf numFmtId="0" fontId="8" fillId="8" borderId="1" xfId="1" applyFont="1" applyFill="1" applyBorder="1" applyAlignment="1" applyProtection="1">
      <alignment horizontal="center" vertical="center" wrapText="1"/>
      <protection locked="0"/>
    </xf>
    <xf numFmtId="0" fontId="8" fillId="8" borderId="17" xfId="1" applyFont="1" applyFill="1" applyBorder="1" applyAlignment="1" applyProtection="1">
      <alignment horizontal="center" vertical="center" wrapText="1"/>
      <protection locked="0"/>
    </xf>
    <xf numFmtId="0" fontId="38" fillId="8" borderId="17" xfId="1" applyFont="1" applyFill="1" applyBorder="1" applyAlignment="1" applyProtection="1">
      <alignment horizontal="center" vertical="center" wrapText="1"/>
      <protection locked="0"/>
    </xf>
    <xf numFmtId="0" fontId="38" fillId="8" borderId="26" xfId="1" applyFont="1" applyFill="1" applyBorder="1" applyAlignment="1" applyProtection="1">
      <alignment horizontal="center" vertical="center" wrapText="1"/>
      <protection locked="0"/>
    </xf>
    <xf numFmtId="0" fontId="38" fillId="8" borderId="2" xfId="1" applyFont="1" applyFill="1" applyBorder="1" applyAlignment="1" applyProtection="1">
      <alignment horizontal="center" vertical="center" wrapText="1"/>
      <protection locked="0"/>
    </xf>
    <xf numFmtId="0" fontId="38" fillId="8" borderId="19" xfId="1" applyFont="1" applyFill="1" applyBorder="1" applyAlignment="1" applyProtection="1">
      <alignment horizontal="center" vertical="center" wrapText="1"/>
      <protection locked="0"/>
    </xf>
    <xf numFmtId="0" fontId="84" fillId="0" borderId="25" xfId="0" applyFont="1" applyBorder="1" applyAlignment="1">
      <alignment horizontal="center" vertical="top" wrapText="1"/>
    </xf>
    <xf numFmtId="0" fontId="84" fillId="0" borderId="27" xfId="0" applyFont="1" applyBorder="1" applyAlignment="1">
      <alignment horizontal="center" vertical="top" wrapText="1"/>
    </xf>
    <xf numFmtId="0" fontId="84" fillId="0" borderId="28" xfId="0" applyFont="1" applyBorder="1" applyAlignment="1">
      <alignment horizontal="center" vertical="top" wrapText="1"/>
    </xf>
    <xf numFmtId="0" fontId="54" fillId="0" borderId="84" xfId="0" applyFont="1" applyBorder="1" applyAlignment="1">
      <alignment horizontal="center" vertical="top" wrapText="1"/>
    </xf>
    <xf numFmtId="0" fontId="84" fillId="0" borderId="25" xfId="0" applyFont="1" applyBorder="1" applyAlignment="1">
      <alignment horizontal="left" wrapText="1"/>
    </xf>
    <xf numFmtId="0" fontId="84" fillId="0" borderId="27" xfId="0" applyFont="1" applyBorder="1" applyAlignment="1">
      <alignment horizontal="left" wrapText="1"/>
    </xf>
    <xf numFmtId="0" fontId="84" fillId="0" borderId="28" xfId="0" applyFont="1" applyBorder="1" applyAlignment="1">
      <alignment horizontal="left" wrapText="1"/>
    </xf>
  </cellXfs>
  <cellStyles count="11">
    <cellStyle name="一般" xfId="0" builtinId="0"/>
    <cellStyle name="一般 2" xfId="4" xr:uid="{00000000-0005-0000-0000-000001000000}"/>
    <cellStyle name="一般 3" xfId="1" xr:uid="{00000000-0005-0000-0000-000002000000}"/>
    <cellStyle name="一般 4" xfId="8" xr:uid="{00000000-0005-0000-0000-000003000000}"/>
    <cellStyle name="一般 4 2" xfId="6" xr:uid="{00000000-0005-0000-0000-000004000000}"/>
    <cellStyle name="一般 5" xfId="5" xr:uid="{00000000-0005-0000-0000-000005000000}"/>
    <cellStyle name="一般 5 2" xfId="9" xr:uid="{00000000-0005-0000-0000-000006000000}"/>
    <cellStyle name="一般 6" xfId="7" xr:uid="{00000000-0005-0000-0000-000007000000}"/>
    <cellStyle name="千分位 2" xfId="3" xr:uid="{00000000-0005-0000-0000-000008000000}"/>
    <cellStyle name="千分位 3" xfId="10" xr:uid="{00000000-0005-0000-0000-000009000000}"/>
    <cellStyle name="百分比 2" xfId="2" xr:uid="{00000000-0005-0000-0000-00000A000000}"/>
  </cellStyles>
  <dxfs count="24"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</dxfs>
  <tableStyles count="0" defaultTableStyle="TableStyleMedium9" defaultPivotStyle="PivotStyleLight16"/>
  <colors>
    <mruColors>
      <color rgb="FF0000FF"/>
      <color rgb="FFFFFFCC"/>
      <color rgb="FFF5E4E3"/>
      <color rgb="FFCC66FF"/>
      <color rgb="FFFFFFE7"/>
      <color rgb="FF0066CC"/>
      <color rgb="FF00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7"/>
  <sheetViews>
    <sheetView zoomScale="70" zoomScaleNormal="70" workbookViewId="0">
      <selection activeCell="N23" sqref="N23"/>
    </sheetView>
  </sheetViews>
  <sheetFormatPr defaultRowHeight="14.25" x14ac:dyDescent="0.25"/>
  <cols>
    <col min="1" max="1" width="9.1640625" style="4" customWidth="1"/>
    <col min="2" max="2" width="13.6640625" style="4" customWidth="1"/>
    <col min="3" max="19" width="11.1640625" style="4" customWidth="1"/>
    <col min="20" max="22" width="16.1640625" style="4" customWidth="1"/>
    <col min="23" max="23" width="4.83203125" customWidth="1"/>
  </cols>
  <sheetData>
    <row r="1" spans="1:38" ht="30" x14ac:dyDescent="0.25">
      <c r="A1" s="156" t="s">
        <v>211</v>
      </c>
      <c r="B1" s="156"/>
      <c r="C1" s="156"/>
      <c r="D1" s="156"/>
      <c r="E1" s="156"/>
      <c r="F1" s="156"/>
      <c r="G1" s="156"/>
      <c r="H1" s="156"/>
      <c r="I1" s="156"/>
      <c r="J1" s="156"/>
      <c r="N1" s="321" t="s">
        <v>124</v>
      </c>
      <c r="O1" s="321"/>
      <c r="P1" s="321"/>
      <c r="Q1" s="321"/>
      <c r="R1" s="321"/>
      <c r="S1" s="321"/>
      <c r="T1" s="321"/>
      <c r="U1" s="321"/>
      <c r="V1" s="321"/>
    </row>
    <row r="2" spans="1:38" ht="30" x14ac:dyDescent="0.25">
      <c r="A2" s="156" t="s">
        <v>123</v>
      </c>
      <c r="B2" s="156"/>
      <c r="C2" s="156"/>
      <c r="D2" s="156"/>
      <c r="E2" s="156"/>
      <c r="F2" s="156"/>
      <c r="G2" s="156"/>
      <c r="H2" s="156"/>
      <c r="I2" s="156"/>
      <c r="J2" s="156"/>
      <c r="N2" s="321"/>
      <c r="O2" s="321"/>
      <c r="P2" s="321"/>
      <c r="Q2" s="321"/>
      <c r="R2" s="321"/>
      <c r="S2" s="321"/>
      <c r="T2" s="321"/>
      <c r="U2" s="321"/>
      <c r="V2" s="321"/>
    </row>
    <row r="3" spans="1:38" ht="14.25" customHeight="1" x14ac:dyDescent="0.25">
      <c r="A3" s="157"/>
      <c r="B3" s="157"/>
      <c r="C3" s="157"/>
      <c r="D3" s="157"/>
      <c r="E3" s="157"/>
      <c r="F3" s="157"/>
      <c r="G3" s="157"/>
      <c r="H3" s="157"/>
      <c r="I3" s="157"/>
      <c r="J3" s="157"/>
    </row>
    <row r="4" spans="1:38" ht="30.75" customHeight="1" thickBot="1" x14ac:dyDescent="0.3">
      <c r="A4" s="225" t="s">
        <v>236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</row>
    <row r="5" spans="1:38" s="2" customFormat="1" ht="30" customHeight="1" x14ac:dyDescent="0.25">
      <c r="A5" s="295" t="s">
        <v>82</v>
      </c>
      <c r="B5" s="304" t="s">
        <v>47</v>
      </c>
      <c r="C5" s="305"/>
      <c r="D5" s="305"/>
      <c r="E5" s="306"/>
      <c r="F5" s="327"/>
      <c r="G5" s="328"/>
      <c r="H5" s="328"/>
      <c r="I5" s="328"/>
      <c r="J5" s="328"/>
      <c r="K5" s="328"/>
      <c r="L5" s="329"/>
      <c r="M5" s="4"/>
      <c r="N5" s="301" t="s">
        <v>83</v>
      </c>
      <c r="O5" s="326" t="s">
        <v>52</v>
      </c>
      <c r="P5" s="326"/>
      <c r="Q5" s="326"/>
      <c r="R5" s="326"/>
      <c r="S5" s="326"/>
      <c r="T5" s="330" t="s">
        <v>53</v>
      </c>
      <c r="U5" s="330"/>
      <c r="V5" s="331"/>
    </row>
    <row r="6" spans="1:38" s="2" customFormat="1" ht="30" customHeight="1" x14ac:dyDescent="0.25">
      <c r="A6" s="296"/>
      <c r="B6" s="307" t="s">
        <v>48</v>
      </c>
      <c r="C6" s="308"/>
      <c r="D6" s="308"/>
      <c r="E6" s="309"/>
      <c r="F6" s="307" t="s">
        <v>59</v>
      </c>
      <c r="G6" s="332"/>
      <c r="H6" s="307" t="s">
        <v>60</v>
      </c>
      <c r="I6" s="332"/>
      <c r="J6" s="307" t="s">
        <v>61</v>
      </c>
      <c r="K6" s="332"/>
      <c r="L6" s="39" t="s">
        <v>49</v>
      </c>
      <c r="M6" s="4"/>
      <c r="N6" s="302"/>
      <c r="O6" s="275" t="s">
        <v>62</v>
      </c>
      <c r="P6" s="275"/>
      <c r="Q6" s="275"/>
      <c r="R6" s="298"/>
      <c r="S6" s="298"/>
      <c r="T6" s="65" t="s">
        <v>54</v>
      </c>
      <c r="U6" s="67" t="s">
        <v>55</v>
      </c>
      <c r="V6" s="39" t="s">
        <v>81</v>
      </c>
    </row>
    <row r="7" spans="1:38" s="2" customFormat="1" ht="30" customHeight="1" x14ac:dyDescent="0.25">
      <c r="A7" s="296"/>
      <c r="B7" s="307" t="s">
        <v>50</v>
      </c>
      <c r="C7" s="308"/>
      <c r="D7" s="308"/>
      <c r="E7" s="309"/>
      <c r="F7" s="313"/>
      <c r="G7" s="314"/>
      <c r="H7" s="313"/>
      <c r="I7" s="314"/>
      <c r="J7" s="313"/>
      <c r="K7" s="314"/>
      <c r="L7" s="40">
        <f>SUM(F7:K7)</f>
        <v>0</v>
      </c>
      <c r="M7" s="4"/>
      <c r="N7" s="302"/>
      <c r="O7" s="275" t="s">
        <v>56</v>
      </c>
      <c r="P7" s="275"/>
      <c r="Q7" s="275"/>
      <c r="R7" s="275"/>
      <c r="S7" s="275"/>
      <c r="T7" s="68">
        <f>花東B表!F34</f>
        <v>0</v>
      </c>
      <c r="U7" s="68">
        <f>花東B表!G34</f>
        <v>0</v>
      </c>
      <c r="V7" s="40">
        <f>T7+U7</f>
        <v>0</v>
      </c>
    </row>
    <row r="8" spans="1:38" s="2" customFormat="1" ht="30" customHeight="1" x14ac:dyDescent="0.25">
      <c r="A8" s="296"/>
      <c r="B8" s="310" t="s">
        <v>129</v>
      </c>
      <c r="C8" s="311"/>
      <c r="D8" s="311"/>
      <c r="E8" s="312"/>
      <c r="F8" s="299"/>
      <c r="G8" s="300"/>
      <c r="H8" s="299"/>
      <c r="I8" s="300"/>
      <c r="J8" s="299"/>
      <c r="K8" s="300"/>
      <c r="L8" s="40">
        <f>SUM(F8:K8)</f>
        <v>0</v>
      </c>
      <c r="M8" s="4"/>
      <c r="N8" s="302"/>
      <c r="O8" s="307" t="s">
        <v>57</v>
      </c>
      <c r="P8" s="309"/>
      <c r="Q8" s="307" t="s">
        <v>58</v>
      </c>
      <c r="R8" s="309"/>
      <c r="S8" s="65" t="s">
        <v>81</v>
      </c>
      <c r="T8" s="69" t="s">
        <v>112</v>
      </c>
      <c r="U8" s="69" t="s">
        <v>113</v>
      </c>
      <c r="V8" s="39" t="s">
        <v>81</v>
      </c>
    </row>
    <row r="9" spans="1:38" s="2" customFormat="1" ht="30" customHeight="1" thickBot="1" x14ac:dyDescent="0.3">
      <c r="A9" s="297"/>
      <c r="B9" s="285" t="s">
        <v>51</v>
      </c>
      <c r="C9" s="286"/>
      <c r="D9" s="286"/>
      <c r="E9" s="287"/>
      <c r="F9" s="283">
        <f>F7-F8</f>
        <v>0</v>
      </c>
      <c r="G9" s="284"/>
      <c r="H9" s="283">
        <f>H7-H8</f>
        <v>0</v>
      </c>
      <c r="I9" s="284"/>
      <c r="J9" s="283">
        <f>J7-J8</f>
        <v>0</v>
      </c>
      <c r="K9" s="284"/>
      <c r="L9" s="41">
        <f>SUM(F9:K9)</f>
        <v>0</v>
      </c>
      <c r="M9" s="4"/>
      <c r="N9" s="303"/>
      <c r="O9" s="337"/>
      <c r="P9" s="338"/>
      <c r="Q9" s="337"/>
      <c r="R9" s="338"/>
      <c r="S9" s="103">
        <f>O9+Q9</f>
        <v>0</v>
      </c>
      <c r="T9" s="43">
        <f>花東B表!D34</f>
        <v>0</v>
      </c>
      <c r="U9" s="43">
        <f>花東B表!E34</f>
        <v>0</v>
      </c>
      <c r="V9" s="41">
        <f>T9+U9</f>
        <v>0</v>
      </c>
    </row>
    <row r="10" spans="1:38" ht="11.25" customHeight="1" thickBot="1" x14ac:dyDescent="0.3">
      <c r="C10" s="45"/>
      <c r="E10" s="46"/>
      <c r="F10" s="47"/>
      <c r="G10" s="48"/>
      <c r="H10" s="46"/>
      <c r="I10" s="46"/>
      <c r="J10" s="46"/>
      <c r="K10" s="46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38" ht="16.5" x14ac:dyDescent="0.25">
      <c r="A11" s="223" t="s">
        <v>111</v>
      </c>
      <c r="B11" s="224"/>
      <c r="C11" s="276" t="s">
        <v>110</v>
      </c>
      <c r="D11" s="277"/>
      <c r="E11" s="277"/>
      <c r="F11" s="277"/>
      <c r="G11" s="277"/>
      <c r="H11" s="277"/>
      <c r="I11" s="277"/>
      <c r="J11" s="277"/>
      <c r="K11" s="277"/>
      <c r="L11" s="278"/>
      <c r="M11" s="279" t="s">
        <v>114</v>
      </c>
      <c r="N11" s="280"/>
      <c r="O11" s="280"/>
      <c r="P11" s="280"/>
      <c r="Q11" s="280"/>
      <c r="R11" s="280"/>
      <c r="S11" s="281"/>
      <c r="T11" s="322" t="s">
        <v>118</v>
      </c>
      <c r="U11" s="323" t="s">
        <v>122</v>
      </c>
      <c r="V11" s="324" t="s">
        <v>109</v>
      </c>
      <c r="Z11" s="339" t="s">
        <v>146</v>
      </c>
      <c r="AA11" s="362"/>
      <c r="AB11" s="362"/>
      <c r="AC11" s="362"/>
      <c r="AD11" s="362"/>
      <c r="AE11" s="362"/>
      <c r="AF11" s="362"/>
      <c r="AG11" s="362"/>
    </row>
    <row r="12" spans="1:38" ht="27.75" customHeight="1" x14ac:dyDescent="0.25">
      <c r="A12" s="288" t="s">
        <v>130</v>
      </c>
      <c r="B12" s="289"/>
      <c r="C12" s="291" t="s">
        <v>84</v>
      </c>
      <c r="D12" s="292"/>
      <c r="E12" s="319" t="s">
        <v>85</v>
      </c>
      <c r="F12" s="292"/>
      <c r="G12" s="319" t="s">
        <v>87</v>
      </c>
      <c r="H12" s="292"/>
      <c r="I12" s="319" t="s">
        <v>86</v>
      </c>
      <c r="J12" s="292"/>
      <c r="K12" s="319" t="s">
        <v>88</v>
      </c>
      <c r="L12" s="333"/>
      <c r="M12" s="101" t="s">
        <v>89</v>
      </c>
      <c r="N12" s="49" t="s">
        <v>90</v>
      </c>
      <c r="O12" s="49" t="s">
        <v>91</v>
      </c>
      <c r="P12" s="334" t="s">
        <v>92</v>
      </c>
      <c r="Q12" s="335"/>
      <c r="R12" s="335"/>
      <c r="S12" s="336"/>
      <c r="T12" s="322"/>
      <c r="U12" s="323"/>
      <c r="V12" s="325"/>
      <c r="Y12" s="109"/>
      <c r="Z12" s="373" t="s">
        <v>147</v>
      </c>
      <c r="AA12" s="342"/>
      <c r="AB12" s="341" t="s">
        <v>148</v>
      </c>
      <c r="AC12" s="342"/>
      <c r="AD12" s="343" t="s">
        <v>149</v>
      </c>
      <c r="AE12" s="342"/>
      <c r="AF12" s="344" t="s">
        <v>157</v>
      </c>
      <c r="AG12" s="342"/>
      <c r="AH12" s="346" t="s">
        <v>158</v>
      </c>
      <c r="AI12" s="346"/>
    </row>
    <row r="13" spans="1:38" ht="30" customHeight="1" x14ac:dyDescent="0.25">
      <c r="A13" s="290"/>
      <c r="B13" s="289"/>
      <c r="C13" s="52" t="s">
        <v>93</v>
      </c>
      <c r="D13" s="44" t="s">
        <v>94</v>
      </c>
      <c r="E13" s="44" t="s">
        <v>93</v>
      </c>
      <c r="F13" s="44" t="s">
        <v>94</v>
      </c>
      <c r="G13" s="44" t="s">
        <v>93</v>
      </c>
      <c r="H13" s="44" t="s">
        <v>94</v>
      </c>
      <c r="I13" s="44" t="s">
        <v>93</v>
      </c>
      <c r="J13" s="44" t="s">
        <v>94</v>
      </c>
      <c r="K13" s="44" t="s">
        <v>93</v>
      </c>
      <c r="L13" s="53" t="s">
        <v>94</v>
      </c>
      <c r="M13" s="102" t="s">
        <v>93</v>
      </c>
      <c r="N13" s="50" t="s">
        <v>93</v>
      </c>
      <c r="O13" s="50" t="s">
        <v>93</v>
      </c>
      <c r="P13" s="50" t="s">
        <v>95</v>
      </c>
      <c r="Q13" s="50" t="s">
        <v>96</v>
      </c>
      <c r="R13" s="50" t="s">
        <v>97</v>
      </c>
      <c r="S13" s="51" t="s">
        <v>98</v>
      </c>
      <c r="T13" s="106" t="s">
        <v>125</v>
      </c>
      <c r="U13" s="58" t="s">
        <v>119</v>
      </c>
      <c r="V13" s="59" t="s">
        <v>120</v>
      </c>
      <c r="Y13" s="1"/>
      <c r="Z13" s="109" t="s">
        <v>150</v>
      </c>
      <c r="AA13" s="110" t="s">
        <v>151</v>
      </c>
      <c r="AB13" s="109" t="s">
        <v>150</v>
      </c>
      <c r="AC13" s="110" t="s">
        <v>151</v>
      </c>
      <c r="AD13" s="109" t="s">
        <v>150</v>
      </c>
      <c r="AE13" s="110" t="s">
        <v>151</v>
      </c>
      <c r="AF13" s="109" t="s">
        <v>150</v>
      </c>
      <c r="AG13" s="110" t="s">
        <v>151</v>
      </c>
      <c r="AH13" s="109" t="s">
        <v>150</v>
      </c>
      <c r="AI13" s="110" t="s">
        <v>151</v>
      </c>
    </row>
    <row r="14" spans="1:38" ht="21" customHeight="1" x14ac:dyDescent="0.25">
      <c r="A14" s="293" t="s">
        <v>99</v>
      </c>
      <c r="B14" s="70" t="s">
        <v>131</v>
      </c>
      <c r="C14" s="122" t="s">
        <v>80</v>
      </c>
      <c r="D14" s="123" t="s">
        <v>80</v>
      </c>
      <c r="E14" s="123" t="s">
        <v>80</v>
      </c>
      <c r="F14" s="123" t="s">
        <v>80</v>
      </c>
      <c r="G14" s="123" t="s">
        <v>80</v>
      </c>
      <c r="H14" s="123" t="s">
        <v>80</v>
      </c>
      <c r="I14" s="123" t="s">
        <v>80</v>
      </c>
      <c r="J14" s="123" t="s">
        <v>80</v>
      </c>
      <c r="K14" s="123" t="s">
        <v>80</v>
      </c>
      <c r="L14" s="124" t="s">
        <v>80</v>
      </c>
      <c r="M14" s="122" t="s">
        <v>80</v>
      </c>
      <c r="N14" s="123" t="s">
        <v>80</v>
      </c>
      <c r="O14" s="123" t="s">
        <v>80</v>
      </c>
      <c r="P14" s="123" t="s">
        <v>80</v>
      </c>
      <c r="Q14" s="123" t="s">
        <v>80</v>
      </c>
      <c r="R14" s="125" t="str">
        <f>P14</f>
        <v>版本</v>
      </c>
      <c r="S14" s="126" t="str">
        <f>Q14</f>
        <v>版本</v>
      </c>
      <c r="T14" s="248">
        <f>SUM(C15:S15)</f>
        <v>0</v>
      </c>
      <c r="U14" s="282">
        <f>T14*F9</f>
        <v>0</v>
      </c>
      <c r="V14" s="249">
        <f>T14*F8</f>
        <v>0</v>
      </c>
      <c r="Y14" s="345" t="s">
        <v>154</v>
      </c>
      <c r="Z14" s="339">
        <f>SUMIF(C14:S14,"康軒",C15:S15)*F9</f>
        <v>0</v>
      </c>
      <c r="AA14" s="340">
        <f>SUMIF(C14:S14,"康軒",C15:S15)*F8</f>
        <v>0</v>
      </c>
      <c r="AB14" s="339">
        <f>SUMIF(C14:S14,"翰林",C15:S15)*F9+AK15</f>
        <v>0</v>
      </c>
      <c r="AC14" s="340">
        <f>SUMIF(C14:S14,"翰林",C15:S15)*F8+AL15</f>
        <v>0</v>
      </c>
      <c r="AD14" s="339">
        <f>SUMIF(C14:S14,"南一",C15:S15)*F9</f>
        <v>0</v>
      </c>
      <c r="AE14" s="340">
        <f>SUMIF(C14:S14,"南一",C15:S15)*F8</f>
        <v>0</v>
      </c>
      <c r="AF14" s="339">
        <f>SUMIF(C14:S14,"奇鼎",C15:S15)*F9</f>
        <v>0</v>
      </c>
      <c r="AG14" s="340">
        <f>SUMIF(C14:S14,"奇鼎",C15:S15)*F8</f>
        <v>0</v>
      </c>
      <c r="AH14" s="339">
        <f>SUMIF(C14:S14,"全華",C15:S15)*F9</f>
        <v>0</v>
      </c>
      <c r="AI14" s="340">
        <f>SUMIF(C14:S14,"全華",C15:S15)*F8</f>
        <v>0</v>
      </c>
      <c r="AJ14" s="115"/>
      <c r="AK14" s="109" t="s">
        <v>150</v>
      </c>
      <c r="AL14" s="110" t="s">
        <v>151</v>
      </c>
    </row>
    <row r="15" spans="1:38" ht="21" customHeight="1" x14ac:dyDescent="0.25">
      <c r="A15" s="293"/>
      <c r="B15" s="70" t="s">
        <v>132</v>
      </c>
      <c r="C15" s="79" t="str">
        <f>VLOOKUP(C14,工作表3!$A$5:$AZ$12,2,FALSE)</f>
        <v>金額</v>
      </c>
      <c r="D15" s="80" t="str">
        <f>VLOOKUP(D14,工作表3!$A$5:$AZ$12,3,FALSE)</f>
        <v>金額</v>
      </c>
      <c r="E15" s="80" t="str">
        <f>VLOOKUP(E14,工作表3!$A$5:$AZ$12,4,FALSE)</f>
        <v>金額</v>
      </c>
      <c r="F15" s="80" t="str">
        <f>VLOOKUP(F14,工作表3!$A$5:$AZ$12,5,FALSE)</f>
        <v>金額</v>
      </c>
      <c r="G15" s="80" t="str">
        <f>VLOOKUP(G14,工作表3!$A$5:$AZ$12,6,FALSE)</f>
        <v>金額</v>
      </c>
      <c r="H15" s="80" t="str">
        <f>VLOOKUP(H14,工作表3!$A$5:$AZ$12,7,FALSE)</f>
        <v>金額</v>
      </c>
      <c r="I15" s="80" t="str">
        <f>VLOOKUP(I14,工作表3!$A$5:$AZ$12,8,FALSE)</f>
        <v>金額</v>
      </c>
      <c r="J15" s="80" t="str">
        <f>VLOOKUP(J14,工作表3!$A$5:$AZ$12,9,FALSE)</f>
        <v>金額</v>
      </c>
      <c r="K15" s="80" t="str">
        <f>VLOOKUP(K14,工作表3!$A$5:$AZ$12,10,FALSE)</f>
        <v>金額</v>
      </c>
      <c r="L15" s="81" t="str">
        <f>VLOOKUP(L14,工作表3!$A$5:$AZ$12,11,FALSE)</f>
        <v>金額</v>
      </c>
      <c r="M15" s="79" t="str">
        <f>VLOOKUP(M14,工作表3!$A$4:$AZ$12,12,FALSE)</f>
        <v>金額</v>
      </c>
      <c r="N15" s="80" t="str">
        <f>VLOOKUP(N14,工作表3!$A$4:$AZ$12,13,FALSE)</f>
        <v>金額</v>
      </c>
      <c r="O15" s="80" t="str">
        <f>VLOOKUP(O14,工作表3!$A$4:$AZ$12,14,FALSE)</f>
        <v>金額</v>
      </c>
      <c r="P15" s="80" t="str">
        <f>VLOOKUP(P14,工作表3!$A$4:$AZ$12,15,FALSE)</f>
        <v>金額</v>
      </c>
      <c r="Q15" s="80" t="str">
        <f>VLOOKUP(Q14,工作表3!$A$4:$AZ$12,16,FALSE)</f>
        <v>金額</v>
      </c>
      <c r="R15" s="80" t="str">
        <f>VLOOKUP(R14,工作表3!$A$4:$AZ$12,17,FALSE)</f>
        <v>金額</v>
      </c>
      <c r="S15" s="81" t="str">
        <f>VLOOKUP(S14,工作表3!$A$4:$AZ$12,18,FALSE)</f>
        <v>金額</v>
      </c>
      <c r="T15" s="248"/>
      <c r="U15" s="282"/>
      <c r="V15" s="250"/>
      <c r="Y15" s="345"/>
      <c r="Z15" s="339"/>
      <c r="AA15" s="340"/>
      <c r="AB15" s="339"/>
      <c r="AC15" s="340"/>
      <c r="AD15" s="339"/>
      <c r="AE15" s="340"/>
      <c r="AF15" s="339"/>
      <c r="AG15" s="340"/>
      <c r="AH15" s="339"/>
      <c r="AI15" s="340"/>
      <c r="AJ15" s="117" t="s">
        <v>159</v>
      </c>
      <c r="AK15" s="115">
        <f>SUMIF(C14:S14,"佳音",C15:S15)*F9</f>
        <v>0</v>
      </c>
      <c r="AL15" s="116">
        <f>SUMIF(C14:S14,"佳音",C15:S15)*F8</f>
        <v>0</v>
      </c>
    </row>
    <row r="16" spans="1:38" ht="21" customHeight="1" x14ac:dyDescent="0.25">
      <c r="A16" s="294" t="s">
        <v>100</v>
      </c>
      <c r="B16" s="70" t="s">
        <v>131</v>
      </c>
      <c r="C16" s="122" t="s">
        <v>80</v>
      </c>
      <c r="D16" s="123" t="s">
        <v>80</v>
      </c>
      <c r="E16" s="123" t="s">
        <v>80</v>
      </c>
      <c r="F16" s="123" t="s">
        <v>80</v>
      </c>
      <c r="G16" s="123" t="s">
        <v>80</v>
      </c>
      <c r="H16" s="123" t="s">
        <v>80</v>
      </c>
      <c r="I16" s="123" t="s">
        <v>80</v>
      </c>
      <c r="J16" s="123" t="s">
        <v>80</v>
      </c>
      <c r="K16" s="123" t="s">
        <v>80</v>
      </c>
      <c r="L16" s="124" t="s">
        <v>80</v>
      </c>
      <c r="M16" s="122" t="s">
        <v>80</v>
      </c>
      <c r="N16" s="123" t="s">
        <v>80</v>
      </c>
      <c r="O16" s="123" t="s">
        <v>80</v>
      </c>
      <c r="P16" s="123" t="s">
        <v>80</v>
      </c>
      <c r="Q16" s="123" t="s">
        <v>80</v>
      </c>
      <c r="R16" s="125" t="str">
        <f>P16</f>
        <v>版本</v>
      </c>
      <c r="S16" s="126" t="str">
        <f>Q16</f>
        <v>版本</v>
      </c>
      <c r="T16" s="248">
        <f>SUM(C17:S17)</f>
        <v>0</v>
      </c>
      <c r="U16" s="282">
        <f>T16*H9</f>
        <v>0</v>
      </c>
      <c r="V16" s="249">
        <f>T16*H8</f>
        <v>0</v>
      </c>
      <c r="Y16" s="345" t="s">
        <v>155</v>
      </c>
      <c r="Z16" s="339">
        <f>SUMIF(C16:S16,"康軒",C17:S17)*H9</f>
        <v>0</v>
      </c>
      <c r="AA16" s="340">
        <f>SUMIF(C16:S16,"康軒",C17:S17)*H8</f>
        <v>0</v>
      </c>
      <c r="AB16" s="339">
        <f>SUMIF(C16:S16,"翰林",C17:S17)*H9+AK17</f>
        <v>0</v>
      </c>
      <c r="AC16" s="340">
        <f>SUMIF(C16:S16,"翰林",C17:S17)*H8+AL17</f>
        <v>0</v>
      </c>
      <c r="AD16" s="339">
        <f>SUMIF(C16:S16,"南一",C17:S17)*H9</f>
        <v>0</v>
      </c>
      <c r="AE16" s="340">
        <f>SUMIF(C16:S16,"南一",C17:S17)*H8</f>
        <v>0</v>
      </c>
      <c r="AF16" s="339">
        <f>SUMIF(C16:S16,"奇鼎",C17:S17)*H9</f>
        <v>0</v>
      </c>
      <c r="AG16" s="340">
        <f>SUMIF(C16:S16,"奇鼎",C17:S17)*H8</f>
        <v>0</v>
      </c>
      <c r="AH16" s="339">
        <f>SUMIF(C16:S16,"全華",C17:S17)*H9</f>
        <v>0</v>
      </c>
      <c r="AI16" s="340">
        <f>SUMIF(C16:S16,"全華",C17:S17)*H8</f>
        <v>0</v>
      </c>
      <c r="AJ16" s="109"/>
      <c r="AK16" s="109"/>
      <c r="AL16" s="110"/>
    </row>
    <row r="17" spans="1:38" ht="21" customHeight="1" x14ac:dyDescent="0.25">
      <c r="A17" s="294"/>
      <c r="B17" s="70" t="s">
        <v>132</v>
      </c>
      <c r="C17" s="79" t="str">
        <f>VLOOKUP(C16,工作表3!$A$4:$AZ$12,19,FALSE)</f>
        <v>金額</v>
      </c>
      <c r="D17" s="80" t="str">
        <f>VLOOKUP(D16,工作表3!$A$4:$AZ$12,20,FALSE)</f>
        <v>金額</v>
      </c>
      <c r="E17" s="80" t="str">
        <f>VLOOKUP(E16,工作表3!$A$4:$AZ$12,21,FALSE)</f>
        <v>金額</v>
      </c>
      <c r="F17" s="80" t="str">
        <f>VLOOKUP(F16,工作表3!$A$4:$AZ$12,22,FALSE)</f>
        <v>金額</v>
      </c>
      <c r="G17" s="80" t="str">
        <f>VLOOKUP(G16,工作表3!$A$4:$AZ$12,23,FALSE)</f>
        <v>金額</v>
      </c>
      <c r="H17" s="80" t="str">
        <f>VLOOKUP(H16,工作表3!$A$4:$AZ$12,24,FALSE)</f>
        <v>金額</v>
      </c>
      <c r="I17" s="80" t="str">
        <f>VLOOKUP(I16,工作表3!$A$4:$AZ$12,25,FALSE)</f>
        <v>金額</v>
      </c>
      <c r="J17" s="80" t="str">
        <f>VLOOKUP(J16,工作表3!$A$4:$AZ$12,26,FALSE)</f>
        <v>金額</v>
      </c>
      <c r="K17" s="80" t="str">
        <f>VLOOKUP(K16,工作表3!$A$4:$AZ$12,27,FALSE)</f>
        <v>金額</v>
      </c>
      <c r="L17" s="81" t="str">
        <f>VLOOKUP(L16,工作表3!$A$4:$AZ$12,28,FALSE)</f>
        <v>金額</v>
      </c>
      <c r="M17" s="79" t="str">
        <f>VLOOKUP(M16,工作表3!$A$4:$AZ$12,29,FALSE)</f>
        <v>金額</v>
      </c>
      <c r="N17" s="80" t="str">
        <f>VLOOKUP(N16,工作表3!$A$4:$AZ$12,30,FALSE)</f>
        <v>金額</v>
      </c>
      <c r="O17" s="80" t="str">
        <f>VLOOKUP(O16,工作表3!$A$4:$AZ$12,31,FALSE)</f>
        <v>金額</v>
      </c>
      <c r="P17" s="80" t="str">
        <f>VLOOKUP(P16,工作表3!$A$4:$AZ$12,32,FALSE)</f>
        <v>金額</v>
      </c>
      <c r="Q17" s="80" t="str">
        <f>VLOOKUP(Q16,工作表3!$A$4:$AZ$12,33,FALSE)</f>
        <v>金額</v>
      </c>
      <c r="R17" s="82" t="str">
        <f>VLOOKUP(R16,工作表3!$A$4:$AZ$12,34,FALSE)</f>
        <v>金額</v>
      </c>
      <c r="S17" s="83" t="str">
        <f>VLOOKUP(S16,工作表3!$A$4:$AZ$12,35,FALSE)</f>
        <v>金額</v>
      </c>
      <c r="T17" s="248"/>
      <c r="U17" s="282"/>
      <c r="V17" s="250"/>
      <c r="Y17" s="345"/>
      <c r="Z17" s="339"/>
      <c r="AA17" s="340"/>
      <c r="AB17" s="339"/>
      <c r="AC17" s="340"/>
      <c r="AD17" s="339"/>
      <c r="AE17" s="340"/>
      <c r="AF17" s="339"/>
      <c r="AG17" s="340"/>
      <c r="AH17" s="339"/>
      <c r="AI17" s="340"/>
      <c r="AJ17" s="117" t="s">
        <v>159</v>
      </c>
      <c r="AK17" s="115">
        <f>SUMIF(C16:S16,"佳音",C17:S17)*H9</f>
        <v>0</v>
      </c>
      <c r="AL17" s="116">
        <f>SUMIF(C16:S16,"佳音",C17:S17)*H8</f>
        <v>0</v>
      </c>
    </row>
    <row r="18" spans="1:38" ht="21" customHeight="1" x14ac:dyDescent="0.25">
      <c r="A18" s="293" t="s">
        <v>101</v>
      </c>
      <c r="B18" s="70" t="s">
        <v>131</v>
      </c>
      <c r="C18" s="122" t="s">
        <v>80</v>
      </c>
      <c r="D18" s="123" t="s">
        <v>80</v>
      </c>
      <c r="E18" s="123" t="s">
        <v>80</v>
      </c>
      <c r="F18" s="123" t="s">
        <v>80</v>
      </c>
      <c r="G18" s="123" t="s">
        <v>80</v>
      </c>
      <c r="H18" s="123" t="s">
        <v>80</v>
      </c>
      <c r="I18" s="123" t="s">
        <v>80</v>
      </c>
      <c r="J18" s="123" t="s">
        <v>80</v>
      </c>
      <c r="K18" s="123" t="s">
        <v>80</v>
      </c>
      <c r="L18" s="124" t="s">
        <v>80</v>
      </c>
      <c r="M18" s="122" t="s">
        <v>80</v>
      </c>
      <c r="N18" s="123" t="s">
        <v>80</v>
      </c>
      <c r="O18" s="123" t="s">
        <v>80</v>
      </c>
      <c r="P18" s="123" t="s">
        <v>80</v>
      </c>
      <c r="Q18" s="123" t="s">
        <v>80</v>
      </c>
      <c r="R18" s="127" t="str">
        <f>P18</f>
        <v>版本</v>
      </c>
      <c r="S18" s="128" t="str">
        <f>Q18</f>
        <v>版本</v>
      </c>
      <c r="T18" s="248">
        <f>SUM(C19:S19)</f>
        <v>0</v>
      </c>
      <c r="U18" s="282">
        <f>T18*J9</f>
        <v>0</v>
      </c>
      <c r="V18" s="249">
        <f>T18*J8</f>
        <v>0</v>
      </c>
      <c r="Y18" s="345" t="s">
        <v>156</v>
      </c>
      <c r="Z18" s="339">
        <f>SUMIF(C18:S18,"康軒",C19:S19)*J9</f>
        <v>0</v>
      </c>
      <c r="AA18" s="340">
        <f>SUMIF(C18:S18,"康軒",C19:S19)*J8</f>
        <v>0</v>
      </c>
      <c r="AB18" s="339">
        <f>SUMIF(C18:S18,"翰林",C19:S19)*J9+AK19</f>
        <v>0</v>
      </c>
      <c r="AC18" s="340">
        <f>SUMIF(C18:S18,"翰林",C19:S19)*J8+AL19</f>
        <v>0</v>
      </c>
      <c r="AD18" s="339">
        <f>SUMIF(C18:S18,"南一",C19:S19)*J9</f>
        <v>0</v>
      </c>
      <c r="AE18" s="340">
        <f>SUMIF(C18:S18,"南一",C19:S19)*J8</f>
        <v>0</v>
      </c>
      <c r="AF18" s="339">
        <f>SUMIF(C18:S18,"奇鼎",C19:S19)*J9</f>
        <v>0</v>
      </c>
      <c r="AG18" s="340">
        <f>SUMIF(C18:S18,"奇鼎",C19:S19)*J8</f>
        <v>0</v>
      </c>
      <c r="AH18" s="339">
        <f>SUMIF(C18:S18,"全華",C19:S19)*J9</f>
        <v>0</v>
      </c>
      <c r="AI18" s="340">
        <f>SUMIF(C18:S18,"全華",C19:S19)*J8</f>
        <v>0</v>
      </c>
      <c r="AJ18" s="109"/>
      <c r="AK18" s="109"/>
      <c r="AL18" s="110"/>
    </row>
    <row r="19" spans="1:38" ht="21" customHeight="1" thickBot="1" x14ac:dyDescent="0.3">
      <c r="A19" s="293"/>
      <c r="B19" s="70" t="s">
        <v>132</v>
      </c>
      <c r="C19" s="84" t="str">
        <f>VLOOKUP(C18,工作表3!$A$4:$AZ$12,36,FALSE)</f>
        <v>金額</v>
      </c>
      <c r="D19" s="85" t="str">
        <f>VLOOKUP(D18,工作表3!$A$4:$AZ$12,37,FALSE)</f>
        <v>金額</v>
      </c>
      <c r="E19" s="85" t="str">
        <f>VLOOKUP(E18,工作表3!$A$4:$AZ$12,38,FALSE)</f>
        <v>金額</v>
      </c>
      <c r="F19" s="85" t="str">
        <f>VLOOKUP(F18,工作表3!$A$4:$AZ$12,39,FALSE)</f>
        <v>金額</v>
      </c>
      <c r="G19" s="85" t="str">
        <f>VLOOKUP(G18,工作表3!$A$4:$AZ$12,40,FALSE)</f>
        <v>金額</v>
      </c>
      <c r="H19" s="85" t="str">
        <f>VLOOKUP(H18,工作表3!$A$4:$AZ$12,41,FALSE)</f>
        <v>金額</v>
      </c>
      <c r="I19" s="85" t="str">
        <f>VLOOKUP(I18,工作表3!$A$4:$AZ$12,42,FALSE)</f>
        <v>金額</v>
      </c>
      <c r="J19" s="85" t="str">
        <f>VLOOKUP(J18,工作表3!$A$4:$AZ$12,43,FALSE)</f>
        <v>金額</v>
      </c>
      <c r="K19" s="85" t="str">
        <f>VLOOKUP(K18,工作表3!$A$4:$AZ$12,44,FALSE)</f>
        <v>金額</v>
      </c>
      <c r="L19" s="86" t="str">
        <f>VLOOKUP(L18,工作表3!$A$4:$AZ$12,45,FALSE)</f>
        <v>金額</v>
      </c>
      <c r="M19" s="84" t="str">
        <f>VLOOKUP(M18,工作表3!$A$4:$AZ$12,46,FALSE)</f>
        <v>金額</v>
      </c>
      <c r="N19" s="85" t="str">
        <f>VLOOKUP(N18,工作表3!$A$4:$AZ$12,47,FALSE)</f>
        <v>金額</v>
      </c>
      <c r="O19" s="85" t="str">
        <f>VLOOKUP(O18,工作表3!$A$4:$AZ$12,48,FALSE)</f>
        <v>金額</v>
      </c>
      <c r="P19" s="85" t="str">
        <f>VLOOKUP(P18,工作表3!$A$4:$AZ$12,49,FALSE)</f>
        <v>金額</v>
      </c>
      <c r="Q19" s="87" t="str">
        <f>VLOOKUP(Q18,工作表3!$A$4:$AZ$12,50,FALSE)</f>
        <v>金額</v>
      </c>
      <c r="R19" s="85" t="str">
        <f>VLOOKUP(R18,工作表3!$A$4:$AZ$12,51,FALSE)</f>
        <v>金額</v>
      </c>
      <c r="S19" s="86" t="str">
        <f>VLOOKUP(S18,工作表3!$A$4:$AZ$12,52,FALSE)</f>
        <v>金額</v>
      </c>
      <c r="T19" s="248"/>
      <c r="U19" s="282"/>
      <c r="V19" s="250"/>
      <c r="Y19" s="345"/>
      <c r="Z19" s="339"/>
      <c r="AA19" s="340"/>
      <c r="AB19" s="339"/>
      <c r="AC19" s="340"/>
      <c r="AD19" s="339"/>
      <c r="AE19" s="340"/>
      <c r="AF19" s="339"/>
      <c r="AG19" s="340"/>
      <c r="AH19" s="339"/>
      <c r="AI19" s="340"/>
      <c r="AJ19" s="117" t="s">
        <v>159</v>
      </c>
      <c r="AK19" s="115">
        <f>SUMIF(C18:S18,"佳音",C19:S19)*J9</f>
        <v>0</v>
      </c>
      <c r="AL19" s="116">
        <f>SUMIF(C18:S18,"佳音",C19:S19)*J8</f>
        <v>0</v>
      </c>
    </row>
    <row r="20" spans="1:38" ht="24.95" customHeight="1" thickBot="1" x14ac:dyDescent="0.3">
      <c r="A20" s="3"/>
      <c r="B20" s="3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7" t="s">
        <v>11</v>
      </c>
      <c r="U20" s="130">
        <f>SUM(U14:U19)</f>
        <v>0</v>
      </c>
      <c r="V20" s="131">
        <f>SUM(V14:V19)</f>
        <v>0</v>
      </c>
      <c r="Y20" s="371" t="s">
        <v>152</v>
      </c>
      <c r="Z20" s="372">
        <f t="shared" ref="Z20:AI20" si="0">SUM(Z14:Z19)</f>
        <v>0</v>
      </c>
      <c r="AA20" s="370">
        <f t="shared" si="0"/>
        <v>0</v>
      </c>
      <c r="AB20" s="372">
        <f t="shared" si="0"/>
        <v>0</v>
      </c>
      <c r="AC20" s="370">
        <f t="shared" si="0"/>
        <v>0</v>
      </c>
      <c r="AD20" s="372">
        <f t="shared" si="0"/>
        <v>0</v>
      </c>
      <c r="AE20" s="370">
        <f t="shared" si="0"/>
        <v>0</v>
      </c>
      <c r="AF20" s="372">
        <f t="shared" si="0"/>
        <v>0</v>
      </c>
      <c r="AG20" s="370">
        <f t="shared" si="0"/>
        <v>0</v>
      </c>
      <c r="AH20" s="372">
        <f t="shared" si="0"/>
        <v>0</v>
      </c>
      <c r="AI20" s="370">
        <f t="shared" si="0"/>
        <v>0</v>
      </c>
      <c r="AJ20" s="115"/>
      <c r="AK20" s="115"/>
      <c r="AL20" s="115"/>
    </row>
    <row r="21" spans="1:38" ht="24.95" customHeight="1" x14ac:dyDescent="0.25">
      <c r="A21" s="319" t="s">
        <v>121</v>
      </c>
      <c r="B21" s="320"/>
      <c r="C21" s="320"/>
      <c r="D21" s="320"/>
      <c r="E21" s="320"/>
      <c r="F21" s="320"/>
      <c r="G21" s="320"/>
      <c r="H21" s="320"/>
      <c r="I21" s="292"/>
      <c r="J21" s="274"/>
      <c r="K21" s="274"/>
      <c r="L21" s="274"/>
      <c r="M21" s="3"/>
      <c r="N21" s="3" t="s">
        <v>102</v>
      </c>
      <c r="O21" s="3"/>
      <c r="Q21" s="54"/>
      <c r="R21" s="54"/>
      <c r="S21" s="54"/>
      <c r="T21" s="54"/>
      <c r="U21" s="54"/>
      <c r="V21" s="54"/>
      <c r="Y21" s="371"/>
      <c r="Z21" s="372"/>
      <c r="AA21" s="370"/>
      <c r="AB21" s="372"/>
      <c r="AC21" s="370"/>
      <c r="AD21" s="372"/>
      <c r="AE21" s="370"/>
      <c r="AF21" s="372"/>
      <c r="AG21" s="370"/>
      <c r="AH21" s="372"/>
      <c r="AI21" s="370"/>
      <c r="AJ21" s="115"/>
      <c r="AK21" s="115"/>
      <c r="AL21" s="115"/>
    </row>
    <row r="22" spans="1:38" ht="24.95" customHeight="1" x14ac:dyDescent="0.25">
      <c r="A22" s="264" t="s">
        <v>115</v>
      </c>
      <c r="B22" s="265"/>
      <c r="C22" s="265"/>
      <c r="D22" s="265"/>
      <c r="E22" s="265"/>
      <c r="F22" s="265"/>
      <c r="G22" s="265"/>
      <c r="H22" s="265"/>
      <c r="I22" s="266"/>
      <c r="J22" s="315">
        <f>SUM(C15:L15)*F9+SUM(C17:L17)*H9+SUM(C19:L19)*J9</f>
        <v>0</v>
      </c>
      <c r="K22" s="315"/>
      <c r="L22" s="315"/>
      <c r="M22" s="55"/>
      <c r="N22" s="3" t="s">
        <v>103</v>
      </c>
      <c r="O22" s="55"/>
      <c r="Q22" s="56"/>
      <c r="R22" s="56"/>
      <c r="S22" s="56"/>
      <c r="T22" s="56"/>
      <c r="U22" s="56"/>
      <c r="V22" s="56"/>
      <c r="Y22" s="21" t="s">
        <v>153</v>
      </c>
      <c r="Z22" s="347">
        <f>Z20+AA20</f>
        <v>0</v>
      </c>
      <c r="AA22" s="348"/>
      <c r="AB22" s="347">
        <f>AB20+AC20</f>
        <v>0</v>
      </c>
      <c r="AC22" s="348"/>
      <c r="AD22" s="347">
        <f>AD20+AE20</f>
        <v>0</v>
      </c>
      <c r="AE22" s="348"/>
      <c r="AF22" s="347">
        <f>AF20+AG20</f>
        <v>0</v>
      </c>
      <c r="AG22" s="348"/>
      <c r="AH22" s="347">
        <f>AH20+AI20</f>
        <v>0</v>
      </c>
      <c r="AI22" s="348"/>
      <c r="AJ22" s="115"/>
      <c r="AK22" s="115"/>
      <c r="AL22" s="115"/>
    </row>
    <row r="23" spans="1:38" ht="24.95" customHeight="1" thickBot="1" x14ac:dyDescent="0.3">
      <c r="A23" s="267" t="s">
        <v>116</v>
      </c>
      <c r="B23" s="268"/>
      <c r="C23" s="268"/>
      <c r="D23" s="268"/>
      <c r="E23" s="268"/>
      <c r="F23" s="268"/>
      <c r="G23" s="268"/>
      <c r="H23" s="268"/>
      <c r="I23" s="269"/>
      <c r="J23" s="316">
        <f>U20-J22</f>
        <v>0</v>
      </c>
      <c r="K23" s="316"/>
      <c r="L23" s="316"/>
      <c r="M23" s="55"/>
      <c r="N23" s="3" t="s">
        <v>237</v>
      </c>
      <c r="O23" s="55"/>
      <c r="Q23" s="56"/>
      <c r="R23" s="56"/>
      <c r="S23" s="56"/>
      <c r="T23" s="56"/>
      <c r="U23" s="56"/>
      <c r="V23" s="56"/>
    </row>
    <row r="24" spans="1:38" ht="24.95" customHeight="1" thickBot="1" x14ac:dyDescent="0.3">
      <c r="A24" s="270" t="s">
        <v>117</v>
      </c>
      <c r="B24" s="271"/>
      <c r="C24" s="271"/>
      <c r="D24" s="271"/>
      <c r="E24" s="271"/>
      <c r="F24" s="271"/>
      <c r="G24" s="271"/>
      <c r="H24" s="271"/>
      <c r="I24" s="272"/>
      <c r="J24" s="317">
        <f>J21+J22+J23</f>
        <v>0</v>
      </c>
      <c r="K24" s="317"/>
      <c r="L24" s="318"/>
      <c r="M24" s="3"/>
      <c r="N24" s="3" t="s">
        <v>104</v>
      </c>
      <c r="O24" s="3"/>
      <c r="Q24" s="57"/>
      <c r="R24" s="57"/>
      <c r="S24" s="57"/>
      <c r="T24" s="57"/>
      <c r="U24" s="57"/>
      <c r="V24" s="57"/>
    </row>
    <row r="25" spans="1:38" ht="16.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38" ht="16.5" x14ac:dyDescent="0.25">
      <c r="A26" s="3" t="s">
        <v>105</v>
      </c>
      <c r="B26" s="3"/>
      <c r="C26" s="3"/>
      <c r="D26" s="3"/>
      <c r="E26" s="3"/>
      <c r="F26" s="3"/>
      <c r="G26" s="3" t="s">
        <v>106</v>
      </c>
      <c r="H26" s="3"/>
      <c r="J26" s="3"/>
      <c r="K26" s="3"/>
      <c r="N26" s="3" t="s">
        <v>107</v>
      </c>
      <c r="O26" s="3"/>
      <c r="S26" s="3"/>
      <c r="U26" s="3" t="s">
        <v>108</v>
      </c>
      <c r="V26" s="3"/>
    </row>
    <row r="27" spans="1:38" ht="16.5" x14ac:dyDescent="0.25">
      <c r="A27" s="3"/>
      <c r="B27" s="3"/>
      <c r="C27" s="3"/>
      <c r="D27" s="3"/>
      <c r="E27" s="3"/>
      <c r="F27" s="3"/>
      <c r="G27" s="3"/>
      <c r="H27" s="3"/>
      <c r="J27" s="3"/>
      <c r="K27" s="3"/>
      <c r="N27" s="3"/>
      <c r="O27" s="3"/>
      <c r="S27" s="3"/>
      <c r="U27" s="3"/>
      <c r="V27" s="3"/>
    </row>
    <row r="28" spans="1:38" ht="16.5" x14ac:dyDescent="0.25">
      <c r="A28" s="3"/>
      <c r="B28" s="3"/>
      <c r="C28" s="3"/>
      <c r="D28" s="3"/>
      <c r="E28" s="3"/>
      <c r="F28" s="3"/>
      <c r="G28" s="3"/>
      <c r="H28" s="3"/>
      <c r="J28" s="3"/>
      <c r="K28" s="3"/>
      <c r="N28" s="3"/>
      <c r="O28" s="3"/>
      <c r="S28" s="3"/>
      <c r="U28" s="3"/>
      <c r="V28" s="3"/>
    </row>
    <row r="29" spans="1:38" ht="16.5" x14ac:dyDescent="0.2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38" ht="16.5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38" ht="16.5" x14ac:dyDescent="0.2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38" ht="45.75" customHeight="1" thickBot="1" x14ac:dyDescent="0.3">
      <c r="A32" s="231" t="s">
        <v>233</v>
      </c>
      <c r="B32" s="232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4"/>
      <c r="U32" s="234"/>
      <c r="V32"/>
    </row>
    <row r="33" spans="1:32" ht="28.5" customHeight="1" thickBot="1" x14ac:dyDescent="0.3">
      <c r="A33" s="364" t="s">
        <v>138</v>
      </c>
      <c r="B33" s="365"/>
      <c r="C33" s="365"/>
      <c r="D33" s="365"/>
      <c r="E33" s="365"/>
      <c r="F33" s="365"/>
      <c r="G33" s="365"/>
      <c r="H33" s="365"/>
      <c r="I33" s="365"/>
      <c r="J33" s="365"/>
      <c r="K33" s="365"/>
      <c r="L33" s="365"/>
      <c r="M33" s="365"/>
      <c r="N33" s="365"/>
      <c r="O33" s="365"/>
      <c r="P33" s="365"/>
      <c r="Q33" s="365"/>
      <c r="R33" s="365"/>
      <c r="S33" s="365"/>
      <c r="T33" s="365"/>
      <c r="U33" s="366"/>
      <c r="V33"/>
      <c r="Z33" s="339" t="s">
        <v>146</v>
      </c>
      <c r="AA33" s="362"/>
      <c r="AB33" s="362"/>
      <c r="AC33" s="362"/>
      <c r="AD33" s="362"/>
    </row>
    <row r="34" spans="1:32" ht="21" customHeight="1" x14ac:dyDescent="0.25">
      <c r="A34" s="367" t="s">
        <v>133</v>
      </c>
      <c r="B34" s="368"/>
      <c r="C34" s="273" t="s">
        <v>84</v>
      </c>
      <c r="D34" s="261"/>
      <c r="E34" s="261" t="s">
        <v>85</v>
      </c>
      <c r="F34" s="261"/>
      <c r="G34" s="261" t="s">
        <v>87</v>
      </c>
      <c r="H34" s="261"/>
      <c r="I34" s="261" t="s">
        <v>86</v>
      </c>
      <c r="J34" s="261"/>
      <c r="K34" s="261" t="s">
        <v>88</v>
      </c>
      <c r="L34" s="262"/>
      <c r="M34" s="107" t="s">
        <v>89</v>
      </c>
      <c r="N34" s="108" t="s">
        <v>90</v>
      </c>
      <c r="O34" s="108" t="s">
        <v>91</v>
      </c>
      <c r="P34" s="261" t="s">
        <v>92</v>
      </c>
      <c r="Q34" s="261"/>
      <c r="R34" s="261"/>
      <c r="S34" s="263"/>
      <c r="T34" s="251" t="s">
        <v>144</v>
      </c>
      <c r="U34" s="253" t="s">
        <v>145</v>
      </c>
      <c r="V34"/>
      <c r="Y34" s="109"/>
      <c r="Z34" s="111" t="s">
        <v>147</v>
      </c>
      <c r="AA34" s="112" t="s">
        <v>162</v>
      </c>
      <c r="AB34" s="113" t="s">
        <v>163</v>
      </c>
      <c r="AC34" s="114" t="s">
        <v>157</v>
      </c>
      <c r="AD34" s="118" t="s">
        <v>158</v>
      </c>
    </row>
    <row r="35" spans="1:32" ht="21" customHeight="1" x14ac:dyDescent="0.25">
      <c r="A35" s="369"/>
      <c r="B35" s="289"/>
      <c r="C35" s="52" t="s">
        <v>93</v>
      </c>
      <c r="D35" s="44" t="s">
        <v>94</v>
      </c>
      <c r="E35" s="44" t="s">
        <v>93</v>
      </c>
      <c r="F35" s="44" t="s">
        <v>94</v>
      </c>
      <c r="G35" s="44" t="s">
        <v>93</v>
      </c>
      <c r="H35" s="44" t="s">
        <v>94</v>
      </c>
      <c r="I35" s="44" t="s">
        <v>93</v>
      </c>
      <c r="J35" s="44" t="s">
        <v>94</v>
      </c>
      <c r="K35" s="44" t="s">
        <v>93</v>
      </c>
      <c r="L35" s="219" t="s">
        <v>94</v>
      </c>
      <c r="M35" s="52" t="s">
        <v>93</v>
      </c>
      <c r="N35" s="44" t="s">
        <v>93</v>
      </c>
      <c r="O35" s="44" t="s">
        <v>93</v>
      </c>
      <c r="P35" s="44" t="s">
        <v>95</v>
      </c>
      <c r="Q35" s="44" t="s">
        <v>96</v>
      </c>
      <c r="R35" s="44" t="s">
        <v>97</v>
      </c>
      <c r="S35" s="53" t="s">
        <v>98</v>
      </c>
      <c r="T35" s="252"/>
      <c r="U35" s="254"/>
      <c r="V35"/>
      <c r="Y35" s="1"/>
      <c r="Z35" s="109" t="s">
        <v>160</v>
      </c>
      <c r="AA35" s="109" t="s">
        <v>160</v>
      </c>
      <c r="AB35" s="109" t="s">
        <v>160</v>
      </c>
      <c r="AC35" s="109" t="s">
        <v>160</v>
      </c>
      <c r="AD35" s="109" t="s">
        <v>160</v>
      </c>
    </row>
    <row r="36" spans="1:32" ht="21" customHeight="1" x14ac:dyDescent="0.25">
      <c r="A36" s="357" t="s">
        <v>143</v>
      </c>
      <c r="B36" s="94" t="s">
        <v>131</v>
      </c>
      <c r="C36" s="178" t="str">
        <f t="shared" ref="C36:S36" si="1">C14</f>
        <v>版本</v>
      </c>
      <c r="D36" s="179" t="str">
        <f t="shared" si="1"/>
        <v>版本</v>
      </c>
      <c r="E36" s="179" t="str">
        <f t="shared" si="1"/>
        <v>版本</v>
      </c>
      <c r="F36" s="179" t="str">
        <f t="shared" si="1"/>
        <v>版本</v>
      </c>
      <c r="G36" s="179" t="str">
        <f t="shared" si="1"/>
        <v>版本</v>
      </c>
      <c r="H36" s="179" t="str">
        <f t="shared" si="1"/>
        <v>版本</v>
      </c>
      <c r="I36" s="179" t="str">
        <f t="shared" si="1"/>
        <v>版本</v>
      </c>
      <c r="J36" s="179" t="str">
        <f t="shared" si="1"/>
        <v>版本</v>
      </c>
      <c r="K36" s="179" t="str">
        <f t="shared" si="1"/>
        <v>版本</v>
      </c>
      <c r="L36" s="220" t="str">
        <f t="shared" si="1"/>
        <v>版本</v>
      </c>
      <c r="M36" s="178" t="str">
        <f t="shared" si="1"/>
        <v>版本</v>
      </c>
      <c r="N36" s="179" t="str">
        <f t="shared" si="1"/>
        <v>版本</v>
      </c>
      <c r="O36" s="179" t="str">
        <f t="shared" si="1"/>
        <v>版本</v>
      </c>
      <c r="P36" s="179" t="str">
        <f t="shared" si="1"/>
        <v>版本</v>
      </c>
      <c r="Q36" s="179" t="str">
        <f t="shared" si="1"/>
        <v>版本</v>
      </c>
      <c r="R36" s="96" t="str">
        <f t="shared" si="1"/>
        <v>版本</v>
      </c>
      <c r="S36" s="98" t="str">
        <f t="shared" si="1"/>
        <v>版本</v>
      </c>
      <c r="T36" s="358">
        <f>SUM(C40:S40)</f>
        <v>0</v>
      </c>
      <c r="U36" s="359" t="e">
        <f>SUM(C41:S41)</f>
        <v>#VALUE!</v>
      </c>
      <c r="V36"/>
      <c r="Y36" s="345" t="s">
        <v>154</v>
      </c>
      <c r="Z36" s="339">
        <f>SUMIF(C36:S36,"康軒",C41:S41)</f>
        <v>0</v>
      </c>
      <c r="AA36" s="339">
        <f>SUMIF(C36:S36,"翰林",C41:S41)+AF37</f>
        <v>0</v>
      </c>
      <c r="AB36" s="339">
        <f>SUMIF(C36:S36,"南一",C41:S41)</f>
        <v>0</v>
      </c>
      <c r="AC36" s="339">
        <f>SUMIF(C36:S36,"奇鼎",C41:S41)</f>
        <v>0</v>
      </c>
      <c r="AD36" s="339">
        <f>SUMIF(C36:S36,"全華",C41:S41)</f>
        <v>0</v>
      </c>
      <c r="AE36" s="115"/>
      <c r="AF36" s="109" t="s">
        <v>160</v>
      </c>
    </row>
    <row r="37" spans="1:32" ht="21" customHeight="1" x14ac:dyDescent="0.25">
      <c r="A37" s="357"/>
      <c r="B37" s="94" t="s">
        <v>134</v>
      </c>
      <c r="C37" s="79" t="str">
        <f>VLOOKUP(C36,工作表3!A21:AZ28,2,FALSE)</f>
        <v>金額</v>
      </c>
      <c r="D37" s="80" t="str">
        <f>VLOOKUP(D36,工作表3!A21:AZ28,3,FALSE)</f>
        <v>金額</v>
      </c>
      <c r="E37" s="80" t="str">
        <f>VLOOKUP(E36,工作表3!A21:AZ28,4,FALSE)</f>
        <v>金額</v>
      </c>
      <c r="F37" s="80" t="str">
        <f>VLOOKUP(F36,工作表3!A21:AZ28,5,FALSE)</f>
        <v>金額</v>
      </c>
      <c r="G37" s="80" t="str">
        <f>VLOOKUP(G36,工作表3!A21:AZ28,6,FALSE)</f>
        <v>金額</v>
      </c>
      <c r="H37" s="80" t="str">
        <f>VLOOKUP(H36,工作表3!A21:AZ28,7,FALSE)</f>
        <v>金額</v>
      </c>
      <c r="I37" s="80" t="str">
        <f>VLOOKUP(I36,工作表3!A21:AZ28,8,FALSE)</f>
        <v>金額</v>
      </c>
      <c r="J37" s="80" t="str">
        <f>VLOOKUP(J36,工作表3!A21:AZ28,9,FALSE)</f>
        <v>金額</v>
      </c>
      <c r="K37" s="80" t="str">
        <f>VLOOKUP(K36,工作表3!A21:AZ28,10,FALSE)</f>
        <v>金額</v>
      </c>
      <c r="L37" s="221" t="str">
        <f>VLOOKUP(L36,工作表3!A21:AZ28,11,FALSE)</f>
        <v>金額</v>
      </c>
      <c r="M37" s="79" t="str">
        <f>VLOOKUP(M36,工作表3!A21:AZ28,12,FALSE)</f>
        <v>金額</v>
      </c>
      <c r="N37" s="80" t="str">
        <f>VLOOKUP(N36,工作表3!A21:AZ28,13,FALSE)</f>
        <v>金額</v>
      </c>
      <c r="O37" s="80" t="str">
        <f>VLOOKUP(O36,工作表3!A21:AZ28,14,FALSE)</f>
        <v>金額</v>
      </c>
      <c r="P37" s="80" t="str">
        <f>VLOOKUP(P36,工作表3!A21:AZ28,15,FALSE)</f>
        <v>金額</v>
      </c>
      <c r="Q37" s="80" t="str">
        <f>VLOOKUP(Q36,工作表3!A21:AZ28,16,FALSE)</f>
        <v>金額</v>
      </c>
      <c r="R37" s="80" t="str">
        <f>VLOOKUP(R36,工作表3!A21:AZ28,17,FALSE)</f>
        <v>金額</v>
      </c>
      <c r="S37" s="81" t="str">
        <f>VLOOKUP(S36,工作表3!A21:AZ28,18,FALSE)</f>
        <v>金額</v>
      </c>
      <c r="T37" s="358"/>
      <c r="U37" s="359"/>
      <c r="V37"/>
      <c r="Y37" s="345"/>
      <c r="Z37" s="339"/>
      <c r="AA37" s="339"/>
      <c r="AB37" s="339"/>
      <c r="AC37" s="339"/>
      <c r="AD37" s="339"/>
      <c r="AE37" s="117" t="s">
        <v>159</v>
      </c>
      <c r="AF37" s="115">
        <f>SUMIF(C36:S36,"佳音",C41:S41)</f>
        <v>0</v>
      </c>
    </row>
    <row r="38" spans="1:32" ht="21" customHeight="1" x14ac:dyDescent="0.25">
      <c r="A38" s="357"/>
      <c r="B38" s="95" t="s">
        <v>135</v>
      </c>
      <c r="C38" s="175"/>
      <c r="D38" s="176"/>
      <c r="E38" s="176"/>
      <c r="F38" s="176"/>
      <c r="G38" s="176"/>
      <c r="H38" s="176"/>
      <c r="I38" s="176"/>
      <c r="J38" s="176"/>
      <c r="K38" s="176"/>
      <c r="L38" s="222"/>
      <c r="M38" s="175"/>
      <c r="N38" s="176"/>
      <c r="O38" s="176"/>
      <c r="P38" s="176"/>
      <c r="Q38" s="176"/>
      <c r="R38" s="176"/>
      <c r="S38" s="177"/>
      <c r="T38" s="358"/>
      <c r="U38" s="359"/>
      <c r="V38"/>
      <c r="Y38" s="345" t="s">
        <v>155</v>
      </c>
      <c r="Z38" s="339">
        <f>SUMIF(C42:S42,"康軒",C47:S47)</f>
        <v>0</v>
      </c>
      <c r="AA38" s="339">
        <f>SUMIF(C42:S42,"翰林",C47:S47)+AF39</f>
        <v>0</v>
      </c>
      <c r="AB38" s="339">
        <f>SUMIF(C42:S42,"南一",C47:S47)</f>
        <v>0</v>
      </c>
      <c r="AC38" s="339">
        <f>SUMIF(C42:S42,"奇鼎",C47:S47)</f>
        <v>0</v>
      </c>
      <c r="AD38" s="339">
        <f>SUMIF(C42:S42,"全華",C47:S47)</f>
        <v>0</v>
      </c>
      <c r="AE38" s="109"/>
      <c r="AF38" s="109"/>
    </row>
    <row r="39" spans="1:32" ht="21" customHeight="1" x14ac:dyDescent="0.25">
      <c r="A39" s="357"/>
      <c r="B39" s="95" t="s">
        <v>234</v>
      </c>
      <c r="C39" s="175"/>
      <c r="D39" s="176"/>
      <c r="E39" s="176"/>
      <c r="F39" s="176"/>
      <c r="G39" s="176"/>
      <c r="H39" s="176"/>
      <c r="I39" s="176"/>
      <c r="J39" s="176"/>
      <c r="K39" s="176"/>
      <c r="L39" s="222"/>
      <c r="M39" s="175"/>
      <c r="N39" s="176"/>
      <c r="O39" s="176"/>
      <c r="P39" s="176"/>
      <c r="Q39" s="176"/>
      <c r="R39" s="176"/>
      <c r="S39" s="177"/>
      <c r="T39" s="358"/>
      <c r="U39" s="359"/>
      <c r="V39"/>
      <c r="Y39" s="345"/>
      <c r="Z39" s="339"/>
      <c r="AA39" s="339"/>
      <c r="AB39" s="339"/>
      <c r="AC39" s="339"/>
      <c r="AD39" s="339"/>
      <c r="AE39" s="117" t="s">
        <v>159</v>
      </c>
      <c r="AF39" s="115">
        <f>SUMIF(C42:S42,"佳音",C47:S47)</f>
        <v>0</v>
      </c>
    </row>
    <row r="40" spans="1:32" ht="21" customHeight="1" x14ac:dyDescent="0.25">
      <c r="A40" s="357"/>
      <c r="B40" s="94" t="s">
        <v>136</v>
      </c>
      <c r="C40" s="79">
        <f>IF((C38-C39)&lt;0,0,(C38-C39))</f>
        <v>0</v>
      </c>
      <c r="D40" s="80">
        <f t="shared" ref="D40:S40" si="2">IF((D38-D39)&lt;0,0,(D38-D39))</f>
        <v>0</v>
      </c>
      <c r="E40" s="80">
        <f t="shared" si="2"/>
        <v>0</v>
      </c>
      <c r="F40" s="80">
        <f t="shared" si="2"/>
        <v>0</v>
      </c>
      <c r="G40" s="80">
        <f t="shared" si="2"/>
        <v>0</v>
      </c>
      <c r="H40" s="80">
        <f t="shared" si="2"/>
        <v>0</v>
      </c>
      <c r="I40" s="80">
        <f t="shared" si="2"/>
        <v>0</v>
      </c>
      <c r="J40" s="80">
        <f t="shared" si="2"/>
        <v>0</v>
      </c>
      <c r="K40" s="80">
        <f t="shared" si="2"/>
        <v>0</v>
      </c>
      <c r="L40" s="221">
        <f t="shared" si="2"/>
        <v>0</v>
      </c>
      <c r="M40" s="79">
        <f t="shared" si="2"/>
        <v>0</v>
      </c>
      <c r="N40" s="80">
        <f t="shared" si="2"/>
        <v>0</v>
      </c>
      <c r="O40" s="80">
        <f t="shared" si="2"/>
        <v>0</v>
      </c>
      <c r="P40" s="80">
        <f t="shared" si="2"/>
        <v>0</v>
      </c>
      <c r="Q40" s="80">
        <f t="shared" si="2"/>
        <v>0</v>
      </c>
      <c r="R40" s="80">
        <f t="shared" si="2"/>
        <v>0</v>
      </c>
      <c r="S40" s="81">
        <f t="shared" si="2"/>
        <v>0</v>
      </c>
      <c r="T40" s="358"/>
      <c r="U40" s="359"/>
      <c r="V40"/>
      <c r="Y40" s="345" t="s">
        <v>156</v>
      </c>
      <c r="Z40" s="339">
        <f>SUMIF(C48:S48,"康軒",C53:S53)</f>
        <v>0</v>
      </c>
      <c r="AA40" s="339">
        <f>SUMIF(C48:S48,"翰林",C53:S53)+AF41</f>
        <v>0</v>
      </c>
      <c r="AB40" s="339">
        <f>SUMIF(C48:S48,"南一",C53:S53)</f>
        <v>0</v>
      </c>
      <c r="AC40" s="339">
        <f>SUMIF(C48:S48,"奇鼎",C53:S53)</f>
        <v>0</v>
      </c>
      <c r="AD40" s="339">
        <f>SUMIF(C48:S48,"全華",C53:S53)</f>
        <v>0</v>
      </c>
      <c r="AE40" s="109"/>
      <c r="AF40" s="109"/>
    </row>
    <row r="41" spans="1:32" ht="21" customHeight="1" x14ac:dyDescent="0.25">
      <c r="A41" s="357"/>
      <c r="B41" s="94" t="s">
        <v>137</v>
      </c>
      <c r="C41" s="79" t="e">
        <f>C37*C40</f>
        <v>#VALUE!</v>
      </c>
      <c r="D41" s="80" t="e">
        <f>D37*D40</f>
        <v>#VALUE!</v>
      </c>
      <c r="E41" s="80" t="e">
        <f t="shared" ref="E41:S41" si="3">E37*E40</f>
        <v>#VALUE!</v>
      </c>
      <c r="F41" s="80" t="e">
        <f t="shared" si="3"/>
        <v>#VALUE!</v>
      </c>
      <c r="G41" s="80" t="e">
        <f t="shared" si="3"/>
        <v>#VALUE!</v>
      </c>
      <c r="H41" s="80" t="e">
        <f t="shared" si="3"/>
        <v>#VALUE!</v>
      </c>
      <c r="I41" s="80" t="e">
        <f t="shared" si="3"/>
        <v>#VALUE!</v>
      </c>
      <c r="J41" s="80" t="e">
        <f t="shared" si="3"/>
        <v>#VALUE!</v>
      </c>
      <c r="K41" s="80" t="e">
        <f t="shared" si="3"/>
        <v>#VALUE!</v>
      </c>
      <c r="L41" s="221" t="e">
        <f>L37*L40</f>
        <v>#VALUE!</v>
      </c>
      <c r="M41" s="79" t="e">
        <f t="shared" si="3"/>
        <v>#VALUE!</v>
      </c>
      <c r="N41" s="80" t="e">
        <f t="shared" si="3"/>
        <v>#VALUE!</v>
      </c>
      <c r="O41" s="80" t="e">
        <f t="shared" si="3"/>
        <v>#VALUE!</v>
      </c>
      <c r="P41" s="80" t="e">
        <f t="shared" si="3"/>
        <v>#VALUE!</v>
      </c>
      <c r="Q41" s="80" t="e">
        <f t="shared" si="3"/>
        <v>#VALUE!</v>
      </c>
      <c r="R41" s="80" t="e">
        <f t="shared" si="3"/>
        <v>#VALUE!</v>
      </c>
      <c r="S41" s="81" t="e">
        <f t="shared" si="3"/>
        <v>#VALUE!</v>
      </c>
      <c r="T41" s="358"/>
      <c r="U41" s="359"/>
      <c r="V41"/>
      <c r="Y41" s="345"/>
      <c r="Z41" s="339"/>
      <c r="AA41" s="339"/>
      <c r="AB41" s="339"/>
      <c r="AC41" s="339"/>
      <c r="AD41" s="339"/>
      <c r="AE41" s="117" t="s">
        <v>159</v>
      </c>
      <c r="AF41" s="115">
        <f>SUMIF(C48:S48,"佳音",C53:S53)</f>
        <v>0</v>
      </c>
    </row>
    <row r="42" spans="1:32" ht="21" customHeight="1" x14ac:dyDescent="0.25">
      <c r="A42" s="363" t="s">
        <v>141</v>
      </c>
      <c r="B42" s="94" t="s">
        <v>131</v>
      </c>
      <c r="C42" s="178" t="str">
        <f t="shared" ref="C42:S42" si="4">C16</f>
        <v>版本</v>
      </c>
      <c r="D42" s="179" t="str">
        <f t="shared" si="4"/>
        <v>版本</v>
      </c>
      <c r="E42" s="179" t="str">
        <f t="shared" si="4"/>
        <v>版本</v>
      </c>
      <c r="F42" s="179" t="str">
        <f t="shared" si="4"/>
        <v>版本</v>
      </c>
      <c r="G42" s="179" t="str">
        <f t="shared" si="4"/>
        <v>版本</v>
      </c>
      <c r="H42" s="179" t="str">
        <f t="shared" si="4"/>
        <v>版本</v>
      </c>
      <c r="I42" s="179" t="str">
        <f t="shared" si="4"/>
        <v>版本</v>
      </c>
      <c r="J42" s="179" t="str">
        <f t="shared" si="4"/>
        <v>版本</v>
      </c>
      <c r="K42" s="179" t="str">
        <f t="shared" si="4"/>
        <v>版本</v>
      </c>
      <c r="L42" s="220" t="str">
        <f t="shared" si="4"/>
        <v>版本</v>
      </c>
      <c r="M42" s="178" t="str">
        <f t="shared" si="4"/>
        <v>版本</v>
      </c>
      <c r="N42" s="179" t="str">
        <f t="shared" si="4"/>
        <v>版本</v>
      </c>
      <c r="O42" s="179" t="str">
        <f t="shared" si="4"/>
        <v>版本</v>
      </c>
      <c r="P42" s="179" t="str">
        <f t="shared" si="4"/>
        <v>版本</v>
      </c>
      <c r="Q42" s="179" t="str">
        <f t="shared" si="4"/>
        <v>版本</v>
      </c>
      <c r="R42" s="96" t="str">
        <f t="shared" si="4"/>
        <v>版本</v>
      </c>
      <c r="S42" s="98" t="str">
        <f t="shared" si="4"/>
        <v>版本</v>
      </c>
      <c r="T42" s="358">
        <f>SUM(C46:S46)</f>
        <v>0</v>
      </c>
      <c r="U42" s="359" t="e">
        <f>SUM(C47:S47)</f>
        <v>#VALUE!</v>
      </c>
      <c r="V42"/>
      <c r="Y42" s="371" t="s">
        <v>152</v>
      </c>
      <c r="Z42" s="372">
        <f>SUM(Z36:Z41)</f>
        <v>0</v>
      </c>
      <c r="AA42" s="372">
        <f>SUM(AA36:AA41)</f>
        <v>0</v>
      </c>
      <c r="AB42" s="372">
        <f>SUM(AB36:AB41)</f>
        <v>0</v>
      </c>
      <c r="AC42" s="372">
        <f>SUM(AC36:AC41)</f>
        <v>0</v>
      </c>
      <c r="AD42" s="372">
        <f>SUM(AD36:AD41)</f>
        <v>0</v>
      </c>
    </row>
    <row r="43" spans="1:32" ht="21" customHeight="1" x14ac:dyDescent="0.25">
      <c r="A43" s="363"/>
      <c r="B43" s="94" t="s">
        <v>134</v>
      </c>
      <c r="C43" s="79" t="str">
        <f>VLOOKUP(C42,工作表3!A21:AZ28,19,FALSE)</f>
        <v>金額</v>
      </c>
      <c r="D43" s="80" t="str">
        <f>VLOOKUP(D42,工作表3!A21:AZ28,20,FALSE)</f>
        <v>金額</v>
      </c>
      <c r="E43" s="80" t="str">
        <f>VLOOKUP(E42,工作表3!A21:AZ28,21,FALSE)</f>
        <v>金額</v>
      </c>
      <c r="F43" s="80" t="str">
        <f>VLOOKUP(F42,工作表3!A21:AZ28,22,FALSE)</f>
        <v>金額</v>
      </c>
      <c r="G43" s="80" t="str">
        <f>VLOOKUP(G42,工作表3!A21:AZ28,23,FALSE)</f>
        <v>金額</v>
      </c>
      <c r="H43" s="80" t="str">
        <f>VLOOKUP(H42,工作表3!A21:AZ28,24,FALSE)</f>
        <v>金額</v>
      </c>
      <c r="I43" s="80" t="str">
        <f>VLOOKUP(I42,工作表3!A21:AZ28,25,FALSE)</f>
        <v>金額</v>
      </c>
      <c r="J43" s="80" t="str">
        <f>VLOOKUP(J42,工作表3!A21:AZ28,26,FALSE)</f>
        <v>金額</v>
      </c>
      <c r="K43" s="80" t="str">
        <f>VLOOKUP(K42,工作表3!A21:AZ28,27,FALSE)</f>
        <v>金額</v>
      </c>
      <c r="L43" s="221" t="str">
        <f>VLOOKUP(L42,工作表3!A21:AZ28,28,FALSE)</f>
        <v>金額</v>
      </c>
      <c r="M43" s="79" t="str">
        <f>VLOOKUP(M42,工作表3!A21:AZ28,29,FALSE)</f>
        <v>金額</v>
      </c>
      <c r="N43" s="80" t="str">
        <f>VLOOKUP(N42,工作表3!A21:AZ28,30,FALSE)</f>
        <v>金額</v>
      </c>
      <c r="O43" s="80" t="str">
        <f>VLOOKUP(O42,工作表3!A21:AZ28,31,FALSE)</f>
        <v>金額</v>
      </c>
      <c r="P43" s="80" t="str">
        <f>VLOOKUP(P42,工作表3!A21:AZ28,32,FALSE)</f>
        <v>金額</v>
      </c>
      <c r="Q43" s="80" t="str">
        <f>VLOOKUP(Q42,工作表3!A21:AZ28,33,FALSE)</f>
        <v>金額</v>
      </c>
      <c r="R43" s="80" t="str">
        <f>VLOOKUP(R42,工作表3!A21:AZ28,34,FALSE)</f>
        <v>金額</v>
      </c>
      <c r="S43" s="81" t="str">
        <f>VLOOKUP(S42,工作表3!A21:AZ28,35,FALSE)</f>
        <v>金額</v>
      </c>
      <c r="T43" s="358"/>
      <c r="U43" s="359"/>
      <c r="V43"/>
      <c r="Y43" s="371"/>
      <c r="Z43" s="372"/>
      <c r="AA43" s="372"/>
      <c r="AB43" s="372"/>
      <c r="AC43" s="372"/>
      <c r="AD43" s="372"/>
    </row>
    <row r="44" spans="1:32" ht="21" customHeight="1" x14ac:dyDescent="0.25">
      <c r="A44" s="363"/>
      <c r="B44" s="95" t="s">
        <v>135</v>
      </c>
      <c r="C44" s="175"/>
      <c r="D44" s="176"/>
      <c r="E44" s="176"/>
      <c r="F44" s="176"/>
      <c r="G44" s="176"/>
      <c r="H44" s="176"/>
      <c r="I44" s="176"/>
      <c r="J44" s="176"/>
      <c r="K44" s="176"/>
      <c r="L44" s="222"/>
      <c r="M44" s="175"/>
      <c r="N44" s="176"/>
      <c r="O44" s="176"/>
      <c r="P44" s="176"/>
      <c r="Q44" s="176"/>
      <c r="R44" s="176"/>
      <c r="S44" s="177"/>
      <c r="T44" s="358"/>
      <c r="U44" s="359"/>
      <c r="V44"/>
      <c r="Y44" s="371"/>
      <c r="Z44" s="372"/>
      <c r="AA44" s="372"/>
      <c r="AB44" s="372"/>
      <c r="AC44" s="372"/>
      <c r="AD44" s="372"/>
    </row>
    <row r="45" spans="1:32" ht="21" customHeight="1" x14ac:dyDescent="0.25">
      <c r="A45" s="363"/>
      <c r="B45" s="95" t="s">
        <v>234</v>
      </c>
      <c r="C45" s="175"/>
      <c r="D45" s="176"/>
      <c r="E45" s="176"/>
      <c r="F45" s="176"/>
      <c r="G45" s="176"/>
      <c r="H45" s="176"/>
      <c r="I45" s="176"/>
      <c r="J45" s="176"/>
      <c r="K45" s="176"/>
      <c r="L45" s="222"/>
      <c r="M45" s="175"/>
      <c r="N45" s="176"/>
      <c r="O45" s="176"/>
      <c r="P45" s="176"/>
      <c r="Q45" s="176"/>
      <c r="R45" s="176"/>
      <c r="S45" s="177"/>
      <c r="T45" s="358"/>
      <c r="U45" s="359"/>
      <c r="V45"/>
    </row>
    <row r="46" spans="1:32" ht="21" customHeight="1" x14ac:dyDescent="0.25">
      <c r="A46" s="363"/>
      <c r="B46" s="94" t="s">
        <v>136</v>
      </c>
      <c r="C46" s="79">
        <f>IF((C44-C45)&lt;0,0,(C44-C45))</f>
        <v>0</v>
      </c>
      <c r="D46" s="80">
        <f t="shared" ref="D46:S46" si="5">IF((D44-D45)&lt;0,0,(D44-D45))</f>
        <v>0</v>
      </c>
      <c r="E46" s="80">
        <f t="shared" si="5"/>
        <v>0</v>
      </c>
      <c r="F46" s="80">
        <f t="shared" si="5"/>
        <v>0</v>
      </c>
      <c r="G46" s="80">
        <f t="shared" si="5"/>
        <v>0</v>
      </c>
      <c r="H46" s="80">
        <f t="shared" si="5"/>
        <v>0</v>
      </c>
      <c r="I46" s="80">
        <f t="shared" si="5"/>
        <v>0</v>
      </c>
      <c r="J46" s="80">
        <f t="shared" si="5"/>
        <v>0</v>
      </c>
      <c r="K46" s="80">
        <f t="shared" si="5"/>
        <v>0</v>
      </c>
      <c r="L46" s="221">
        <f t="shared" si="5"/>
        <v>0</v>
      </c>
      <c r="M46" s="79">
        <f t="shared" si="5"/>
        <v>0</v>
      </c>
      <c r="N46" s="80">
        <f t="shared" si="5"/>
        <v>0</v>
      </c>
      <c r="O46" s="80">
        <f t="shared" si="5"/>
        <v>0</v>
      </c>
      <c r="P46" s="80">
        <f t="shared" si="5"/>
        <v>0</v>
      </c>
      <c r="Q46" s="80">
        <f t="shared" si="5"/>
        <v>0</v>
      </c>
      <c r="R46" s="80">
        <f t="shared" si="5"/>
        <v>0</v>
      </c>
      <c r="S46" s="81">
        <f t="shared" si="5"/>
        <v>0</v>
      </c>
      <c r="T46" s="358"/>
      <c r="U46" s="359"/>
      <c r="V46"/>
    </row>
    <row r="47" spans="1:32" ht="21" customHeight="1" x14ac:dyDescent="0.25">
      <c r="A47" s="363"/>
      <c r="B47" s="94" t="s">
        <v>137</v>
      </c>
      <c r="C47" s="79" t="e">
        <f>C43*C46</f>
        <v>#VALUE!</v>
      </c>
      <c r="D47" s="80" t="e">
        <f>D43*D46</f>
        <v>#VALUE!</v>
      </c>
      <c r="E47" s="80" t="e">
        <f t="shared" ref="E47:S47" si="6">E43*E46</f>
        <v>#VALUE!</v>
      </c>
      <c r="F47" s="80" t="e">
        <f t="shared" si="6"/>
        <v>#VALUE!</v>
      </c>
      <c r="G47" s="80" t="e">
        <f t="shared" si="6"/>
        <v>#VALUE!</v>
      </c>
      <c r="H47" s="80" t="e">
        <f t="shared" si="6"/>
        <v>#VALUE!</v>
      </c>
      <c r="I47" s="80" t="e">
        <f t="shared" si="6"/>
        <v>#VALUE!</v>
      </c>
      <c r="J47" s="80" t="e">
        <f t="shared" si="6"/>
        <v>#VALUE!</v>
      </c>
      <c r="K47" s="80" t="e">
        <f t="shared" si="6"/>
        <v>#VALUE!</v>
      </c>
      <c r="L47" s="221" t="e">
        <f t="shared" si="6"/>
        <v>#VALUE!</v>
      </c>
      <c r="M47" s="79" t="e">
        <f t="shared" si="6"/>
        <v>#VALUE!</v>
      </c>
      <c r="N47" s="80" t="e">
        <f t="shared" si="6"/>
        <v>#VALUE!</v>
      </c>
      <c r="O47" s="80" t="e">
        <f t="shared" si="6"/>
        <v>#VALUE!</v>
      </c>
      <c r="P47" s="80" t="e">
        <f t="shared" si="6"/>
        <v>#VALUE!</v>
      </c>
      <c r="Q47" s="80" t="e">
        <f t="shared" si="6"/>
        <v>#VALUE!</v>
      </c>
      <c r="R47" s="80" t="e">
        <f t="shared" si="6"/>
        <v>#VALUE!</v>
      </c>
      <c r="S47" s="81" t="e">
        <f t="shared" si="6"/>
        <v>#VALUE!</v>
      </c>
      <c r="T47" s="358"/>
      <c r="U47" s="359"/>
      <c r="V47"/>
    </row>
    <row r="48" spans="1:32" ht="21" customHeight="1" x14ac:dyDescent="0.25">
      <c r="A48" s="260" t="s">
        <v>142</v>
      </c>
      <c r="B48" s="94" t="s">
        <v>131</v>
      </c>
      <c r="C48" s="178" t="str">
        <f t="shared" ref="C48:S48" si="7">C18</f>
        <v>版本</v>
      </c>
      <c r="D48" s="179" t="str">
        <f t="shared" si="7"/>
        <v>版本</v>
      </c>
      <c r="E48" s="179" t="str">
        <f t="shared" si="7"/>
        <v>版本</v>
      </c>
      <c r="F48" s="179" t="str">
        <f t="shared" si="7"/>
        <v>版本</v>
      </c>
      <c r="G48" s="179" t="str">
        <f t="shared" si="7"/>
        <v>版本</v>
      </c>
      <c r="H48" s="179" t="str">
        <f t="shared" si="7"/>
        <v>版本</v>
      </c>
      <c r="I48" s="179" t="str">
        <f t="shared" si="7"/>
        <v>版本</v>
      </c>
      <c r="J48" s="179" t="str">
        <f t="shared" si="7"/>
        <v>版本</v>
      </c>
      <c r="K48" s="179" t="str">
        <f t="shared" si="7"/>
        <v>版本</v>
      </c>
      <c r="L48" s="220" t="str">
        <f t="shared" si="7"/>
        <v>版本</v>
      </c>
      <c r="M48" s="178" t="str">
        <f t="shared" si="7"/>
        <v>版本</v>
      </c>
      <c r="N48" s="179" t="str">
        <f t="shared" si="7"/>
        <v>版本</v>
      </c>
      <c r="O48" s="179" t="str">
        <f t="shared" si="7"/>
        <v>版本</v>
      </c>
      <c r="P48" s="179" t="str">
        <f t="shared" si="7"/>
        <v>版本</v>
      </c>
      <c r="Q48" s="179" t="str">
        <f t="shared" si="7"/>
        <v>版本</v>
      </c>
      <c r="R48" s="96" t="str">
        <f t="shared" si="7"/>
        <v>版本</v>
      </c>
      <c r="S48" s="98" t="str">
        <f t="shared" si="7"/>
        <v>版本</v>
      </c>
      <c r="T48" s="235">
        <f>SUM(C52:S52)</f>
        <v>0</v>
      </c>
      <c r="U48" s="236" t="e">
        <f>SUM(C53:S53)</f>
        <v>#VALUE!</v>
      </c>
      <c r="V48"/>
    </row>
    <row r="49" spans="1:32" ht="21" customHeight="1" x14ac:dyDescent="0.25">
      <c r="A49" s="260"/>
      <c r="B49" s="94" t="s">
        <v>134</v>
      </c>
      <c r="C49" s="79" t="str">
        <f>VLOOKUP(C48,工作表3!A21:AZ28,36,FALSE)</f>
        <v>金額</v>
      </c>
      <c r="D49" s="80" t="str">
        <f>VLOOKUP(D48,工作表3!A21:AZ28,37,FALSE)</f>
        <v>金額</v>
      </c>
      <c r="E49" s="80" t="str">
        <f>VLOOKUP(E48,工作表3!A21:AZ28,38,FALSE)</f>
        <v>金額</v>
      </c>
      <c r="F49" s="80" t="str">
        <f>VLOOKUP(F48,工作表3!A21:AZ28,39,FALSE)</f>
        <v>金額</v>
      </c>
      <c r="G49" s="80" t="str">
        <f>VLOOKUP(G48,工作表3!A21:AZ28,40,FALSE)</f>
        <v>金額</v>
      </c>
      <c r="H49" s="80" t="str">
        <f>VLOOKUP(H48,工作表3!A21:AZ28,41,FALSE)</f>
        <v>金額</v>
      </c>
      <c r="I49" s="80" t="str">
        <f>VLOOKUP(I48,工作表3!A21:AZ28,42,FALSE)</f>
        <v>金額</v>
      </c>
      <c r="J49" s="80" t="str">
        <f>VLOOKUP(J48,工作表3!A21:AZ28,43,FALSE)</f>
        <v>金額</v>
      </c>
      <c r="K49" s="80" t="str">
        <f>VLOOKUP(K48,工作表3!A21:AZ28,44,FALSE)</f>
        <v>金額</v>
      </c>
      <c r="L49" s="221" t="str">
        <f>VLOOKUP(L48,工作表3!A21:AZ28,45,FALSE)</f>
        <v>金額</v>
      </c>
      <c r="M49" s="79" t="str">
        <f>VLOOKUP(M48,工作表3!A21:AZ28,46,FALSE)</f>
        <v>金額</v>
      </c>
      <c r="N49" s="80" t="str">
        <f>VLOOKUP(N48,工作表3!A21:AZ28,47,FALSE)</f>
        <v>金額</v>
      </c>
      <c r="O49" s="80" t="str">
        <f>VLOOKUP(O48,工作表3!A21:AZ28,48,FALSE)</f>
        <v>金額</v>
      </c>
      <c r="P49" s="80" t="str">
        <f>VLOOKUP(P48,工作表3!A21:AZ28,49,FALSE)</f>
        <v>金額</v>
      </c>
      <c r="Q49" s="80" t="str">
        <f>VLOOKUP(Q48,工作表3!A21:AZ28,50,FALSE)</f>
        <v>金額</v>
      </c>
      <c r="R49" s="80" t="str">
        <f>VLOOKUP(R48,工作表3!A21:AZ28,51,FALSE)</f>
        <v>金額</v>
      </c>
      <c r="S49" s="81" t="str">
        <f>VLOOKUP(S48,工作表3!A21:AZ28,52,FALSE)</f>
        <v>金額</v>
      </c>
      <c r="T49" s="235"/>
      <c r="U49" s="236"/>
      <c r="V49"/>
    </row>
    <row r="50" spans="1:32" ht="21" customHeight="1" x14ac:dyDescent="0.25">
      <c r="A50" s="260"/>
      <c r="B50" s="95" t="s">
        <v>135</v>
      </c>
      <c r="C50" s="175"/>
      <c r="D50" s="176"/>
      <c r="E50" s="176"/>
      <c r="F50" s="176"/>
      <c r="G50" s="176"/>
      <c r="H50" s="176"/>
      <c r="I50" s="176"/>
      <c r="J50" s="176"/>
      <c r="K50" s="176"/>
      <c r="L50" s="222"/>
      <c r="M50" s="175"/>
      <c r="N50" s="176"/>
      <c r="O50" s="176"/>
      <c r="P50" s="176"/>
      <c r="Q50" s="176"/>
      <c r="R50" s="176"/>
      <c r="S50" s="177"/>
      <c r="T50" s="235"/>
      <c r="U50" s="236"/>
      <c r="V50"/>
    </row>
    <row r="51" spans="1:32" ht="21" customHeight="1" x14ac:dyDescent="0.25">
      <c r="A51" s="260"/>
      <c r="B51" s="95" t="s">
        <v>234</v>
      </c>
      <c r="C51" s="175"/>
      <c r="D51" s="176"/>
      <c r="E51" s="176"/>
      <c r="F51" s="176"/>
      <c r="G51" s="176"/>
      <c r="H51" s="176"/>
      <c r="I51" s="176"/>
      <c r="J51" s="176"/>
      <c r="K51" s="176"/>
      <c r="L51" s="222"/>
      <c r="M51" s="175"/>
      <c r="N51" s="176"/>
      <c r="O51" s="176"/>
      <c r="P51" s="176"/>
      <c r="Q51" s="176"/>
      <c r="R51" s="176"/>
      <c r="S51" s="177"/>
      <c r="T51" s="235"/>
      <c r="U51" s="236"/>
      <c r="V51"/>
    </row>
    <row r="52" spans="1:32" ht="21" customHeight="1" x14ac:dyDescent="0.25">
      <c r="A52" s="260"/>
      <c r="B52" s="94" t="s">
        <v>136</v>
      </c>
      <c r="C52" s="79">
        <f>IF((C50-C51)&lt;0,0,(C50-C51))</f>
        <v>0</v>
      </c>
      <c r="D52" s="80">
        <f t="shared" ref="D52:S52" si="8">IF((D50-D51)&lt;0,0,(D50-D51))</f>
        <v>0</v>
      </c>
      <c r="E52" s="80">
        <f t="shared" si="8"/>
        <v>0</v>
      </c>
      <c r="F52" s="80">
        <f t="shared" si="8"/>
        <v>0</v>
      </c>
      <c r="G52" s="80">
        <f t="shared" si="8"/>
        <v>0</v>
      </c>
      <c r="H52" s="80">
        <f t="shared" si="8"/>
        <v>0</v>
      </c>
      <c r="I52" s="80">
        <f t="shared" si="8"/>
        <v>0</v>
      </c>
      <c r="J52" s="80">
        <f t="shared" si="8"/>
        <v>0</v>
      </c>
      <c r="K52" s="80">
        <f t="shared" si="8"/>
        <v>0</v>
      </c>
      <c r="L52" s="221">
        <f t="shared" si="8"/>
        <v>0</v>
      </c>
      <c r="M52" s="79">
        <f t="shared" si="8"/>
        <v>0</v>
      </c>
      <c r="N52" s="80">
        <f t="shared" si="8"/>
        <v>0</v>
      </c>
      <c r="O52" s="80">
        <f t="shared" si="8"/>
        <v>0</v>
      </c>
      <c r="P52" s="80">
        <f t="shared" si="8"/>
        <v>0</v>
      </c>
      <c r="Q52" s="80">
        <f t="shared" si="8"/>
        <v>0</v>
      </c>
      <c r="R52" s="80">
        <f t="shared" si="8"/>
        <v>0</v>
      </c>
      <c r="S52" s="81">
        <f t="shared" si="8"/>
        <v>0</v>
      </c>
      <c r="T52" s="235"/>
      <c r="U52" s="236"/>
      <c r="V52"/>
    </row>
    <row r="53" spans="1:32" ht="21" customHeight="1" thickBot="1" x14ac:dyDescent="0.3">
      <c r="A53" s="260"/>
      <c r="B53" s="97" t="s">
        <v>137</v>
      </c>
      <c r="C53" s="84" t="e">
        <f>C49*C52</f>
        <v>#VALUE!</v>
      </c>
      <c r="D53" s="85" t="e">
        <f>D49*D52</f>
        <v>#VALUE!</v>
      </c>
      <c r="E53" s="85" t="e">
        <f t="shared" ref="E53:S53" si="9">E49*E52</f>
        <v>#VALUE!</v>
      </c>
      <c r="F53" s="85" t="e">
        <f t="shared" si="9"/>
        <v>#VALUE!</v>
      </c>
      <c r="G53" s="85" t="e">
        <f t="shared" si="9"/>
        <v>#VALUE!</v>
      </c>
      <c r="H53" s="85" t="e">
        <f t="shared" si="9"/>
        <v>#VALUE!</v>
      </c>
      <c r="I53" s="85" t="e">
        <f t="shared" si="9"/>
        <v>#VALUE!</v>
      </c>
      <c r="J53" s="85" t="e">
        <f t="shared" si="9"/>
        <v>#VALUE!</v>
      </c>
      <c r="K53" s="85" t="e">
        <f t="shared" si="9"/>
        <v>#VALUE!</v>
      </c>
      <c r="L53" s="87" t="e">
        <f t="shared" si="9"/>
        <v>#VALUE!</v>
      </c>
      <c r="M53" s="84" t="e">
        <f t="shared" si="9"/>
        <v>#VALUE!</v>
      </c>
      <c r="N53" s="85" t="e">
        <f t="shared" si="9"/>
        <v>#VALUE!</v>
      </c>
      <c r="O53" s="85" t="e">
        <f t="shared" si="9"/>
        <v>#VALUE!</v>
      </c>
      <c r="P53" s="85" t="e">
        <f t="shared" si="9"/>
        <v>#VALUE!</v>
      </c>
      <c r="Q53" s="85" t="e">
        <f t="shared" si="9"/>
        <v>#VALUE!</v>
      </c>
      <c r="R53" s="85" t="e">
        <f t="shared" si="9"/>
        <v>#VALUE!</v>
      </c>
      <c r="S53" s="86" t="e">
        <f t="shared" si="9"/>
        <v>#VALUE!</v>
      </c>
      <c r="T53" s="235"/>
      <c r="U53" s="236"/>
      <c r="V53"/>
    </row>
    <row r="54" spans="1:32" ht="28.5" customHeight="1" thickBot="1" x14ac:dyDescent="0.3">
      <c r="A54" s="353" t="s">
        <v>235</v>
      </c>
      <c r="B54" s="354"/>
      <c r="C54" s="355"/>
      <c r="D54" s="355"/>
      <c r="E54" s="355"/>
      <c r="F54" s="355"/>
      <c r="G54" s="355"/>
      <c r="H54" s="355"/>
      <c r="I54" s="355"/>
      <c r="J54" s="355"/>
      <c r="K54" s="355"/>
      <c r="L54" s="355"/>
      <c r="M54" s="355"/>
      <c r="N54" s="355"/>
      <c r="O54" s="355"/>
      <c r="P54" s="355"/>
      <c r="Q54" s="355"/>
      <c r="R54" s="355"/>
      <c r="S54" s="356"/>
      <c r="T54" s="104" t="s">
        <v>11</v>
      </c>
      <c r="U54" s="105" t="e">
        <f>SUM(U36:U53)</f>
        <v>#VALUE!</v>
      </c>
      <c r="V54"/>
    </row>
    <row r="55" spans="1:32" ht="16.5" x14ac:dyDescent="0.25">
      <c r="A55" s="73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5"/>
      <c r="S55" s="76"/>
      <c r="T55"/>
      <c r="U55"/>
      <c r="V55"/>
    </row>
    <row r="56" spans="1:32" ht="15" thickBot="1" x14ac:dyDescent="0.3"/>
    <row r="57" spans="1:32" ht="27.75" customHeight="1" thickBot="1" x14ac:dyDescent="0.3">
      <c r="A57" s="350" t="s">
        <v>226</v>
      </c>
      <c r="B57" s="351"/>
      <c r="C57" s="351"/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1"/>
      <c r="P57" s="351"/>
      <c r="Q57" s="351"/>
      <c r="R57" s="351"/>
      <c r="S57" s="351"/>
      <c r="T57" s="351"/>
      <c r="U57" s="351"/>
      <c r="V57" s="352"/>
      <c r="Z57" s="339" t="s">
        <v>146</v>
      </c>
      <c r="AA57" s="362"/>
      <c r="AB57" s="362"/>
      <c r="AC57" s="362"/>
      <c r="AD57" s="362"/>
    </row>
    <row r="58" spans="1:32" ht="21" customHeight="1" x14ac:dyDescent="0.25">
      <c r="A58" s="239" t="s">
        <v>133</v>
      </c>
      <c r="B58" s="240"/>
      <c r="C58" s="349" t="s">
        <v>84</v>
      </c>
      <c r="D58" s="256"/>
      <c r="E58" s="256" t="s">
        <v>85</v>
      </c>
      <c r="F58" s="256"/>
      <c r="G58" s="256" t="s">
        <v>87</v>
      </c>
      <c r="H58" s="256"/>
      <c r="I58" s="256" t="s">
        <v>86</v>
      </c>
      <c r="J58" s="256"/>
      <c r="K58" s="256" t="s">
        <v>88</v>
      </c>
      <c r="L58" s="257"/>
      <c r="M58" s="63" t="s">
        <v>89</v>
      </c>
      <c r="N58" s="64" t="s">
        <v>90</v>
      </c>
      <c r="O58" s="64" t="s">
        <v>91</v>
      </c>
      <c r="P58" s="256" t="s">
        <v>92</v>
      </c>
      <c r="Q58" s="256"/>
      <c r="R58" s="256"/>
      <c r="S58" s="257"/>
      <c r="T58" s="227" t="s">
        <v>126</v>
      </c>
      <c r="U58" s="258" t="s">
        <v>127</v>
      </c>
      <c r="V58" s="360" t="s">
        <v>164</v>
      </c>
      <c r="Y58" s="109"/>
      <c r="Z58" s="111" t="s">
        <v>147</v>
      </c>
      <c r="AA58" s="112" t="s">
        <v>148</v>
      </c>
      <c r="AB58" s="113" t="s">
        <v>149</v>
      </c>
      <c r="AC58" s="114" t="s">
        <v>157</v>
      </c>
      <c r="AD58" s="118" t="s">
        <v>158</v>
      </c>
    </row>
    <row r="59" spans="1:32" ht="21" customHeight="1" x14ac:dyDescent="0.25">
      <c r="A59" s="241"/>
      <c r="B59" s="242"/>
      <c r="C59" s="60" t="s">
        <v>93</v>
      </c>
      <c r="D59" s="61" t="s">
        <v>94</v>
      </c>
      <c r="E59" s="61" t="s">
        <v>93</v>
      </c>
      <c r="F59" s="61" t="s">
        <v>94</v>
      </c>
      <c r="G59" s="61" t="s">
        <v>93</v>
      </c>
      <c r="H59" s="61" t="s">
        <v>94</v>
      </c>
      <c r="I59" s="61" t="s">
        <v>93</v>
      </c>
      <c r="J59" s="61" t="s">
        <v>94</v>
      </c>
      <c r="K59" s="61" t="s">
        <v>93</v>
      </c>
      <c r="L59" s="62" t="s">
        <v>94</v>
      </c>
      <c r="M59" s="60" t="s">
        <v>93</v>
      </c>
      <c r="N59" s="61" t="s">
        <v>93</v>
      </c>
      <c r="O59" s="61" t="s">
        <v>93</v>
      </c>
      <c r="P59" s="61" t="s">
        <v>95</v>
      </c>
      <c r="Q59" s="61" t="s">
        <v>96</v>
      </c>
      <c r="R59" s="61" t="s">
        <v>97</v>
      </c>
      <c r="S59" s="62" t="s">
        <v>98</v>
      </c>
      <c r="T59" s="228"/>
      <c r="U59" s="259"/>
      <c r="V59" s="361"/>
      <c r="Y59" s="1"/>
      <c r="Z59" s="109" t="s">
        <v>161</v>
      </c>
      <c r="AA59" s="109" t="s">
        <v>161</v>
      </c>
      <c r="AB59" s="109" t="s">
        <v>161</v>
      </c>
      <c r="AC59" s="109" t="s">
        <v>161</v>
      </c>
      <c r="AD59" s="109" t="s">
        <v>161</v>
      </c>
    </row>
    <row r="60" spans="1:32" ht="21" customHeight="1" x14ac:dyDescent="0.25">
      <c r="A60" s="237" t="s">
        <v>99</v>
      </c>
      <c r="B60" s="71" t="s">
        <v>131</v>
      </c>
      <c r="C60" s="78" t="str">
        <f>C14</f>
        <v>版本</v>
      </c>
      <c r="D60" s="99" t="str">
        <f>D14</f>
        <v>版本</v>
      </c>
      <c r="E60" s="99" t="str">
        <f t="shared" ref="E60:S60" si="10">E14</f>
        <v>版本</v>
      </c>
      <c r="F60" s="99" t="str">
        <f t="shared" si="10"/>
        <v>版本</v>
      </c>
      <c r="G60" s="99" t="str">
        <f t="shared" si="10"/>
        <v>版本</v>
      </c>
      <c r="H60" s="99" t="str">
        <f t="shared" si="10"/>
        <v>版本</v>
      </c>
      <c r="I60" s="99" t="str">
        <f t="shared" si="10"/>
        <v>版本</v>
      </c>
      <c r="J60" s="99" t="str">
        <f t="shared" si="10"/>
        <v>版本</v>
      </c>
      <c r="K60" s="99" t="str">
        <f t="shared" si="10"/>
        <v>版本</v>
      </c>
      <c r="L60" s="100" t="str">
        <f t="shared" si="10"/>
        <v>版本</v>
      </c>
      <c r="M60" s="78" t="str">
        <f t="shared" si="10"/>
        <v>版本</v>
      </c>
      <c r="N60" s="99" t="str">
        <f t="shared" si="10"/>
        <v>版本</v>
      </c>
      <c r="O60" s="99" t="str">
        <f t="shared" si="10"/>
        <v>版本</v>
      </c>
      <c r="P60" s="99" t="str">
        <f t="shared" si="10"/>
        <v>版本</v>
      </c>
      <c r="Q60" s="99" t="str">
        <f t="shared" si="10"/>
        <v>版本</v>
      </c>
      <c r="R60" s="99" t="str">
        <f t="shared" si="10"/>
        <v>版本</v>
      </c>
      <c r="S60" s="100" t="str">
        <f t="shared" si="10"/>
        <v>版本</v>
      </c>
      <c r="T60" s="229">
        <f>SUM(C61:S61)</f>
        <v>0</v>
      </c>
      <c r="U60" s="243">
        <f>T60*F9</f>
        <v>0</v>
      </c>
      <c r="V60" s="245">
        <f>T60*F7</f>
        <v>0</v>
      </c>
      <c r="Y60" s="345" t="s">
        <v>154</v>
      </c>
      <c r="Z60" s="339">
        <f>SUMIF(C60:S60,"康軒",C61:S61)*F7</f>
        <v>0</v>
      </c>
      <c r="AA60" s="339">
        <f>SUMIF(C60:S60,"翰林",C61:S61)*F7+AF61</f>
        <v>0</v>
      </c>
      <c r="AB60" s="339">
        <f>SUMIF(C60:S60,"南一",C61:S61)*F7</f>
        <v>0</v>
      </c>
      <c r="AC60" s="339">
        <f>SUMIF(C60:S60,"奇鼎",C61:S61)*F7</f>
        <v>0</v>
      </c>
      <c r="AD60" s="339">
        <f>SUMIF(C60:S60,"全華",C61:S61)*F7</f>
        <v>0</v>
      </c>
      <c r="AE60" s="115"/>
      <c r="AF60" s="109" t="s">
        <v>161</v>
      </c>
    </row>
    <row r="61" spans="1:32" ht="21" customHeight="1" x14ac:dyDescent="0.25">
      <c r="A61" s="237"/>
      <c r="B61" s="71" t="s">
        <v>132</v>
      </c>
      <c r="C61" s="88" t="str">
        <f>VLOOKUP(C60,工作表3!$BA$5:$CZ$12,2,FALSE)</f>
        <v>金額</v>
      </c>
      <c r="D61" s="89" t="str">
        <f>VLOOKUP(D60,工作表3!$BA$5:$CZ$12,3,FALSE)</f>
        <v>金額</v>
      </c>
      <c r="E61" s="89" t="str">
        <f>VLOOKUP(E60,工作表3!$BA$5:$CZ$12,4,FALSE)</f>
        <v>金額</v>
      </c>
      <c r="F61" s="89" t="str">
        <f>VLOOKUP(F60,工作表3!$BA$5:$CZ$12,5,FALSE)</f>
        <v>金額</v>
      </c>
      <c r="G61" s="89" t="str">
        <f>VLOOKUP(G60,工作表3!$BA$5:$CZ$12,6,FALSE)</f>
        <v>金額</v>
      </c>
      <c r="H61" s="89" t="str">
        <f>VLOOKUP(H60,工作表3!$BA$5:$CZ$12,7,FALSE)</f>
        <v>金額</v>
      </c>
      <c r="I61" s="89" t="str">
        <f>VLOOKUP(I60,工作表3!$BA$5:$CZ$12,8,FALSE)</f>
        <v>金額</v>
      </c>
      <c r="J61" s="89" t="str">
        <f>VLOOKUP(J60,工作表3!$BA$5:$CZ$12,9,FALSE)</f>
        <v>金額</v>
      </c>
      <c r="K61" s="89" t="str">
        <f>VLOOKUP(K60,工作表3!$BA$5:$CZ$12,10,FALSE)</f>
        <v>金額</v>
      </c>
      <c r="L61" s="90" t="str">
        <f>VLOOKUP(L60,工作表3!$BA$5:$CZ$12,11,FALSE)</f>
        <v>金額</v>
      </c>
      <c r="M61" s="88" t="str">
        <f>VLOOKUP(M60,工作表3!$BA$5:$CZ$12,12,FALSE)</f>
        <v>金額</v>
      </c>
      <c r="N61" s="89" t="str">
        <f>VLOOKUP(N60,工作表3!$BA$5:$CZ$12,13,FALSE)</f>
        <v>金額</v>
      </c>
      <c r="O61" s="89" t="str">
        <f>VLOOKUP(O60,工作表3!$BA$5:$CZ$12,14,FALSE)</f>
        <v>金額</v>
      </c>
      <c r="P61" s="89" t="str">
        <f>VLOOKUP(P60,工作表3!$BA$5:$CZ$12,15,FALSE)</f>
        <v>金額</v>
      </c>
      <c r="Q61" s="89" t="str">
        <f>VLOOKUP(Q60,工作表3!$BA$5:$CZ$12,16,FALSE)</f>
        <v>金額</v>
      </c>
      <c r="R61" s="89" t="str">
        <f>VLOOKUP(R60,工作表3!$BA$5:$CZ$12,17,FALSE)</f>
        <v>金額</v>
      </c>
      <c r="S61" s="90" t="str">
        <f>VLOOKUP(S60,工作表3!$BA$5:$CZ$12,18,FALSE)</f>
        <v>金額</v>
      </c>
      <c r="T61" s="229"/>
      <c r="U61" s="255"/>
      <c r="V61" s="246"/>
      <c r="Y61" s="345"/>
      <c r="Z61" s="339"/>
      <c r="AA61" s="339"/>
      <c r="AB61" s="339"/>
      <c r="AC61" s="339"/>
      <c r="AD61" s="339"/>
      <c r="AE61" s="117" t="s">
        <v>159</v>
      </c>
      <c r="AF61" s="115">
        <f>SUMIF(C60:S60,"佳音",C61:S61)*F7</f>
        <v>0</v>
      </c>
    </row>
    <row r="62" spans="1:32" ht="21" customHeight="1" x14ac:dyDescent="0.25">
      <c r="A62" s="238" t="s">
        <v>100</v>
      </c>
      <c r="B62" s="71" t="s">
        <v>131</v>
      </c>
      <c r="C62" s="78" t="str">
        <f>C16</f>
        <v>版本</v>
      </c>
      <c r="D62" s="99" t="str">
        <f>D16</f>
        <v>版本</v>
      </c>
      <c r="E62" s="99" t="str">
        <f t="shared" ref="E62:S62" si="11">E16</f>
        <v>版本</v>
      </c>
      <c r="F62" s="99" t="str">
        <f t="shared" si="11"/>
        <v>版本</v>
      </c>
      <c r="G62" s="99" t="str">
        <f t="shared" si="11"/>
        <v>版本</v>
      </c>
      <c r="H62" s="99" t="str">
        <f t="shared" si="11"/>
        <v>版本</v>
      </c>
      <c r="I62" s="99" t="str">
        <f t="shared" si="11"/>
        <v>版本</v>
      </c>
      <c r="J62" s="99" t="str">
        <f t="shared" si="11"/>
        <v>版本</v>
      </c>
      <c r="K62" s="99" t="str">
        <f t="shared" si="11"/>
        <v>版本</v>
      </c>
      <c r="L62" s="100" t="str">
        <f t="shared" si="11"/>
        <v>版本</v>
      </c>
      <c r="M62" s="78" t="str">
        <f t="shared" si="11"/>
        <v>版本</v>
      </c>
      <c r="N62" s="99" t="str">
        <f t="shared" si="11"/>
        <v>版本</v>
      </c>
      <c r="O62" s="99" t="str">
        <f t="shared" si="11"/>
        <v>版本</v>
      </c>
      <c r="P62" s="99" t="str">
        <f t="shared" si="11"/>
        <v>版本</v>
      </c>
      <c r="Q62" s="99" t="str">
        <f t="shared" si="11"/>
        <v>版本</v>
      </c>
      <c r="R62" s="99" t="str">
        <f t="shared" si="11"/>
        <v>版本</v>
      </c>
      <c r="S62" s="100" t="str">
        <f t="shared" si="11"/>
        <v>版本</v>
      </c>
      <c r="T62" s="229">
        <f>SUM(C63:S63)</f>
        <v>0</v>
      </c>
      <c r="U62" s="243">
        <f>T62*H9</f>
        <v>0</v>
      </c>
      <c r="V62" s="245">
        <f>T62*H7</f>
        <v>0</v>
      </c>
      <c r="Y62" s="345" t="s">
        <v>155</v>
      </c>
      <c r="Z62" s="339">
        <f>SUMIF(C62:S62,"康軒",C63:S63)*H7</f>
        <v>0</v>
      </c>
      <c r="AA62" s="339">
        <f>SUMIF(C62:S62,"翰林",C63:S63)*H7+AF63</f>
        <v>0</v>
      </c>
      <c r="AB62" s="339">
        <f>SUMIF(C62:S62,"南一",C63:S63)*H7</f>
        <v>0</v>
      </c>
      <c r="AC62" s="339">
        <f>SUMIF(C62:S62,"奇鼎",C63:S63)*H7</f>
        <v>0</v>
      </c>
      <c r="AD62" s="339">
        <f>SUMIF(C62:S62,"全華",C63:S63)*H7</f>
        <v>0</v>
      </c>
      <c r="AE62" s="109"/>
      <c r="AF62" s="109"/>
    </row>
    <row r="63" spans="1:32" ht="21" customHeight="1" x14ac:dyDescent="0.25">
      <c r="A63" s="238"/>
      <c r="B63" s="71" t="s">
        <v>132</v>
      </c>
      <c r="C63" s="88" t="str">
        <f>VLOOKUP(C62,工作表3!$BA$5:$CZ$12,19,FALSE)</f>
        <v>金額</v>
      </c>
      <c r="D63" s="89" t="str">
        <f>VLOOKUP(D62,工作表3!$BA$5:$CZ$12,20,FALSE)</f>
        <v>金額</v>
      </c>
      <c r="E63" s="89" t="str">
        <f>VLOOKUP(E62,工作表3!$BA$5:$CZ$12,21,FALSE)</f>
        <v>金額</v>
      </c>
      <c r="F63" s="89" t="str">
        <f>VLOOKUP(F62,工作表3!$BA$5:$CZ$12,22,FALSE)</f>
        <v>金額</v>
      </c>
      <c r="G63" s="89" t="str">
        <f>VLOOKUP(G62,工作表3!$BA$5:$CZ$12,23,FALSE)</f>
        <v>金額</v>
      </c>
      <c r="H63" s="89" t="str">
        <f>VLOOKUP(H62,工作表3!$BA$5:$CZ$12,24,FALSE)</f>
        <v>金額</v>
      </c>
      <c r="I63" s="89" t="str">
        <f>VLOOKUP(I62,工作表3!$BA$5:$CZ$12,25,FALSE)</f>
        <v>金額</v>
      </c>
      <c r="J63" s="89" t="str">
        <f>VLOOKUP(J62,工作表3!$BA$5:$CZ$12,26,FALSE)</f>
        <v>金額</v>
      </c>
      <c r="K63" s="89" t="str">
        <f>VLOOKUP(K62,工作表3!$BA$5:$CZ$12,27,FALSE)</f>
        <v>金額</v>
      </c>
      <c r="L63" s="90" t="str">
        <f>VLOOKUP(L62,工作表3!$BA$5:$CZ$12,28,FALSE)</f>
        <v>金額</v>
      </c>
      <c r="M63" s="88" t="str">
        <f>VLOOKUP(M62,工作表3!$BA$5:$CZ$12,29,FALSE)</f>
        <v>金額</v>
      </c>
      <c r="N63" s="89" t="str">
        <f>VLOOKUP(N62,工作表3!$BA$5:$CZ$12,30,FALSE)</f>
        <v>金額</v>
      </c>
      <c r="O63" s="89" t="str">
        <f>VLOOKUP(O62,工作表3!$BA$5:$CZ$12,31,FALSE)</f>
        <v>金額</v>
      </c>
      <c r="P63" s="89" t="str">
        <f>VLOOKUP(P62,工作表3!$BA$5:$CZ$12,32,FALSE)</f>
        <v>金額</v>
      </c>
      <c r="Q63" s="89" t="str">
        <f>VLOOKUP(Q62,工作表3!$BA$5:$CZ$12,33,FALSE)</f>
        <v>金額</v>
      </c>
      <c r="R63" s="89" t="str">
        <f>VLOOKUP(R62,工作表3!$BA$5:$CZ$12,34,FALSE)</f>
        <v>金額</v>
      </c>
      <c r="S63" s="90" t="str">
        <f>VLOOKUP(S62,工作表3!$BA$5:$CZ$12,35,FALSE)</f>
        <v>金額</v>
      </c>
      <c r="T63" s="229"/>
      <c r="U63" s="255"/>
      <c r="V63" s="246"/>
      <c r="Y63" s="345"/>
      <c r="Z63" s="339"/>
      <c r="AA63" s="339"/>
      <c r="AB63" s="339"/>
      <c r="AC63" s="339"/>
      <c r="AD63" s="339"/>
      <c r="AE63" s="117" t="s">
        <v>159</v>
      </c>
      <c r="AF63" s="115">
        <f>SUMIF(C62:S62,"佳音",C63:S63)*H7</f>
        <v>0</v>
      </c>
    </row>
    <row r="64" spans="1:32" ht="21" customHeight="1" x14ac:dyDescent="0.25">
      <c r="A64" s="237" t="s">
        <v>101</v>
      </c>
      <c r="B64" s="71" t="s">
        <v>131</v>
      </c>
      <c r="C64" s="78" t="str">
        <f>C18</f>
        <v>版本</v>
      </c>
      <c r="D64" s="99" t="str">
        <f>D18</f>
        <v>版本</v>
      </c>
      <c r="E64" s="99" t="str">
        <f t="shared" ref="E64:Q64" si="12">E18</f>
        <v>版本</v>
      </c>
      <c r="F64" s="99" t="str">
        <f t="shared" si="12"/>
        <v>版本</v>
      </c>
      <c r="G64" s="99" t="str">
        <f t="shared" si="12"/>
        <v>版本</v>
      </c>
      <c r="H64" s="99" t="str">
        <f t="shared" si="12"/>
        <v>版本</v>
      </c>
      <c r="I64" s="99" t="str">
        <f t="shared" si="12"/>
        <v>版本</v>
      </c>
      <c r="J64" s="99" t="str">
        <f t="shared" si="12"/>
        <v>版本</v>
      </c>
      <c r="K64" s="99" t="str">
        <f t="shared" si="12"/>
        <v>版本</v>
      </c>
      <c r="L64" s="100" t="str">
        <f t="shared" si="12"/>
        <v>版本</v>
      </c>
      <c r="M64" s="78" t="str">
        <f t="shared" si="12"/>
        <v>版本</v>
      </c>
      <c r="N64" s="99" t="str">
        <f t="shared" si="12"/>
        <v>版本</v>
      </c>
      <c r="O64" s="99" t="str">
        <f t="shared" si="12"/>
        <v>版本</v>
      </c>
      <c r="P64" s="99" t="str">
        <f t="shared" si="12"/>
        <v>版本</v>
      </c>
      <c r="Q64" s="99" t="str">
        <f t="shared" si="12"/>
        <v>版本</v>
      </c>
      <c r="R64" s="187" t="str">
        <f>R18</f>
        <v>版本</v>
      </c>
      <c r="S64" s="99" t="str">
        <f t="shared" ref="S64" si="13">S18</f>
        <v>版本</v>
      </c>
      <c r="T64" s="229">
        <f>SUM(C65:S65)</f>
        <v>0</v>
      </c>
      <c r="U64" s="243">
        <f>T64*J9</f>
        <v>0</v>
      </c>
      <c r="V64" s="245">
        <f>T64*J7</f>
        <v>0</v>
      </c>
      <c r="Y64" s="345" t="s">
        <v>156</v>
      </c>
      <c r="Z64" s="339">
        <f>SUMIF(C64:S64,"康軒",C65:S65)*J7</f>
        <v>0</v>
      </c>
      <c r="AA64" s="339">
        <f>SUMIF(C64:S64,"翰林",C65:S65)*J7+AF65</f>
        <v>0</v>
      </c>
      <c r="AB64" s="339">
        <f>SUMIF(C64:S64,"南一",C65:S65)*J7</f>
        <v>0</v>
      </c>
      <c r="AC64" s="339">
        <f>SUMIF(C64:S64,"奇鼎",C65:S65)*J7</f>
        <v>0</v>
      </c>
      <c r="AD64" s="339">
        <f>SUMIF(C64:S64,"全華",C65:S65)*J7</f>
        <v>0</v>
      </c>
      <c r="AE64" s="109"/>
      <c r="AF64" s="109"/>
    </row>
    <row r="65" spans="1:32" ht="21" customHeight="1" thickBot="1" x14ac:dyDescent="0.3">
      <c r="A65" s="237"/>
      <c r="B65" s="71" t="s">
        <v>132</v>
      </c>
      <c r="C65" s="91" t="str">
        <f>VLOOKUP(C64,工作表3!$BA$5:$CZ$12,36,FALSE)</f>
        <v>金額</v>
      </c>
      <c r="D65" s="92" t="str">
        <f>VLOOKUP(D64,工作表3!$BA$5:$CZ$12,37,FALSE)</f>
        <v>金額</v>
      </c>
      <c r="E65" s="92" t="str">
        <f>VLOOKUP(E64,工作表3!$BA$5:$CZ$12,38,FALSE)</f>
        <v>金額</v>
      </c>
      <c r="F65" s="92" t="str">
        <f>VLOOKUP(F64,工作表3!$BA$5:$CZ$12,39,FALSE)</f>
        <v>金額</v>
      </c>
      <c r="G65" s="92" t="str">
        <f>VLOOKUP(G64,工作表3!$BA$5:$CZ$12,40,FALSE)</f>
        <v>金額</v>
      </c>
      <c r="H65" s="92" t="str">
        <f>VLOOKUP(H64,工作表3!$BA$5:$CZ$12,41,FALSE)</f>
        <v>金額</v>
      </c>
      <c r="I65" s="92" t="str">
        <f>VLOOKUP(I64,工作表3!$BA$5:$CZ$12,42,FALSE)</f>
        <v>金額</v>
      </c>
      <c r="J65" s="92" t="str">
        <f>VLOOKUP(J64,工作表3!$BA$5:$CZ$12,43,FALSE)</f>
        <v>金額</v>
      </c>
      <c r="K65" s="92" t="str">
        <f>VLOOKUP(K64,工作表3!$BA$5:$CZ$12,44,FALSE)</f>
        <v>金額</v>
      </c>
      <c r="L65" s="93" t="str">
        <f>VLOOKUP(L64,工作表3!$BA$5:$CZ$12,45,FALSE)</f>
        <v>金額</v>
      </c>
      <c r="M65" s="91" t="str">
        <f>VLOOKUP(M64,工作表3!$BA$5:$CZ$12,46,FALSE)</f>
        <v>金額</v>
      </c>
      <c r="N65" s="92" t="str">
        <f>VLOOKUP(N64,工作表3!$BA$5:$CZ$12,47,FALSE)</f>
        <v>金額</v>
      </c>
      <c r="O65" s="92" t="str">
        <f>VLOOKUP(O64,工作表3!$BA$5:$CZ$12,48,FALSE)</f>
        <v>金額</v>
      </c>
      <c r="P65" s="92" t="str">
        <f>VLOOKUP(P64,工作表3!$BA$5:$CZ$12,49,FALSE)</f>
        <v>金額</v>
      </c>
      <c r="Q65" s="92" t="str">
        <f>VLOOKUP(Q64,工作表3!$BA$5:$CZ$12,50,FALSE)</f>
        <v>金額</v>
      </c>
      <c r="R65" s="92" t="str">
        <f>VLOOKUP(R64,工作表3!$BA$5:$CZ$12,51,FALSE)</f>
        <v>金額</v>
      </c>
      <c r="S65" s="92" t="str">
        <f>VLOOKUP(S64,工作表3!$BA$5:$CZ$12,52,FALSE)</f>
        <v>金額</v>
      </c>
      <c r="T65" s="230"/>
      <c r="U65" s="244"/>
      <c r="V65" s="247"/>
      <c r="Y65" s="345"/>
      <c r="Z65" s="339"/>
      <c r="AA65" s="339"/>
      <c r="AB65" s="339"/>
      <c r="AC65" s="339"/>
      <c r="AD65" s="339"/>
      <c r="AE65" s="117" t="s">
        <v>159</v>
      </c>
      <c r="AF65" s="115">
        <f>SUMIF(C64:S64,"佳音",C65:S65)*J7</f>
        <v>0</v>
      </c>
    </row>
    <row r="66" spans="1:32" ht="28.5" customHeight="1" thickBot="1" x14ac:dyDescent="0.3">
      <c r="A66" s="66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119" t="s">
        <v>128</v>
      </c>
      <c r="U66" s="120">
        <f>SUM(U60:U65)</f>
        <v>0</v>
      </c>
      <c r="V66" s="121">
        <f>SUM(V60:V65)</f>
        <v>0</v>
      </c>
      <c r="Y66" s="371" t="s">
        <v>152</v>
      </c>
      <c r="Z66" s="372">
        <f>SUM(Z60:Z65)</f>
        <v>0</v>
      </c>
      <c r="AA66" s="372">
        <f>SUM(AA60:AA65)</f>
        <v>0</v>
      </c>
      <c r="AB66" s="372">
        <f>SUM(AB60:AB65)</f>
        <v>0</v>
      </c>
      <c r="AC66" s="372">
        <f>SUM(AC60:AC65)</f>
        <v>0</v>
      </c>
      <c r="AD66" s="372">
        <f>SUM(AD60:AD65)</f>
        <v>0</v>
      </c>
    </row>
    <row r="67" spans="1:32" x14ac:dyDescent="0.25">
      <c r="Y67" s="371"/>
      <c r="Z67" s="372"/>
      <c r="AA67" s="372"/>
      <c r="AB67" s="372"/>
      <c r="AC67" s="372"/>
      <c r="AD67" s="372"/>
    </row>
  </sheetData>
  <sheetProtection formatCells="0" formatColumns="0" formatRows="0" insertColumns="0" insertRows="0" insertHyperlinks="0" deleteColumns="0" deleteRows="0" selectLockedCells="1" sort="0" autoFilter="0" pivotTables="0"/>
  <mergeCells count="213">
    <mergeCell ref="Y66:Y67"/>
    <mergeCell ref="Z66:Z67"/>
    <mergeCell ref="AA66:AA67"/>
    <mergeCell ref="AB66:AB67"/>
    <mergeCell ref="AC66:AC67"/>
    <mergeCell ref="AD66:AD67"/>
    <mergeCell ref="Y62:Y63"/>
    <mergeCell ref="Z62:Z63"/>
    <mergeCell ref="AA62:AA63"/>
    <mergeCell ref="AB62:AB63"/>
    <mergeCell ref="AC62:AC63"/>
    <mergeCell ref="AD62:AD63"/>
    <mergeCell ref="Y64:Y65"/>
    <mergeCell ref="Z64:Z65"/>
    <mergeCell ref="AA64:AA65"/>
    <mergeCell ref="AB64:AB65"/>
    <mergeCell ref="AC64:AC65"/>
    <mergeCell ref="AD64:AD65"/>
    <mergeCell ref="AG14:AG15"/>
    <mergeCell ref="AE18:AE19"/>
    <mergeCell ref="AF18:AF19"/>
    <mergeCell ref="AG18:AG19"/>
    <mergeCell ref="Y60:Y61"/>
    <mergeCell ref="Z60:Z61"/>
    <mergeCell ref="AA60:AA61"/>
    <mergeCell ref="AB60:AB61"/>
    <mergeCell ref="AC60:AC61"/>
    <mergeCell ref="AD60:AD61"/>
    <mergeCell ref="AD40:AD41"/>
    <mergeCell ref="Y42:Y44"/>
    <mergeCell ref="Z42:Z44"/>
    <mergeCell ref="AA42:AA44"/>
    <mergeCell ref="AB42:AB44"/>
    <mergeCell ref="AC42:AC44"/>
    <mergeCell ref="AD42:AD44"/>
    <mergeCell ref="Y40:Y41"/>
    <mergeCell ref="Z40:Z41"/>
    <mergeCell ref="AA40:AA41"/>
    <mergeCell ref="AB40:AB41"/>
    <mergeCell ref="AC40:AC41"/>
    <mergeCell ref="AB38:AB39"/>
    <mergeCell ref="AC38:AC39"/>
    <mergeCell ref="AD38:AD39"/>
    <mergeCell ref="Y36:Y37"/>
    <mergeCell ref="Z36:Z37"/>
    <mergeCell ref="AA36:AA37"/>
    <mergeCell ref="AB36:AB37"/>
    <mergeCell ref="AC36:AC37"/>
    <mergeCell ref="Z22:AA22"/>
    <mergeCell ref="AB22:AC22"/>
    <mergeCell ref="AD22:AE22"/>
    <mergeCell ref="Z33:AD33"/>
    <mergeCell ref="AD36:AD37"/>
    <mergeCell ref="Y38:Y39"/>
    <mergeCell ref="Z38:Z39"/>
    <mergeCell ref="AA38:AA39"/>
    <mergeCell ref="AI18:AI19"/>
    <mergeCell ref="AI20:AI21"/>
    <mergeCell ref="Q8:R8"/>
    <mergeCell ref="Q9:R9"/>
    <mergeCell ref="Y18:Y19"/>
    <mergeCell ref="Y20:Y21"/>
    <mergeCell ref="Z20:Z21"/>
    <mergeCell ref="AA20:AA21"/>
    <mergeCell ref="AB20:AB21"/>
    <mergeCell ref="AC20:AC21"/>
    <mergeCell ref="AD20:AD21"/>
    <mergeCell ref="AE20:AE21"/>
    <mergeCell ref="AF20:AF21"/>
    <mergeCell ref="AG20:AG21"/>
    <mergeCell ref="AH20:AH21"/>
    <mergeCell ref="AH16:AH17"/>
    <mergeCell ref="Z18:Z19"/>
    <mergeCell ref="AA18:AA19"/>
    <mergeCell ref="AB18:AB19"/>
    <mergeCell ref="AC18:AC19"/>
    <mergeCell ref="AD18:AD19"/>
    <mergeCell ref="Z11:AG11"/>
    <mergeCell ref="Z12:AA12"/>
    <mergeCell ref="AF14:AF15"/>
    <mergeCell ref="AI14:AI15"/>
    <mergeCell ref="AI16:AI17"/>
    <mergeCell ref="AH18:AH19"/>
    <mergeCell ref="AF22:AG22"/>
    <mergeCell ref="AH22:AI22"/>
    <mergeCell ref="C58:D58"/>
    <mergeCell ref="E58:F58"/>
    <mergeCell ref="G58:H58"/>
    <mergeCell ref="I58:J58"/>
    <mergeCell ref="K58:L58"/>
    <mergeCell ref="A57:V57"/>
    <mergeCell ref="A54:S54"/>
    <mergeCell ref="A36:A41"/>
    <mergeCell ref="T36:T41"/>
    <mergeCell ref="U36:U41"/>
    <mergeCell ref="V58:V59"/>
    <mergeCell ref="Z57:AD57"/>
    <mergeCell ref="A42:A47"/>
    <mergeCell ref="T42:T47"/>
    <mergeCell ref="U42:U47"/>
    <mergeCell ref="U18:U19"/>
    <mergeCell ref="A18:A19"/>
    <mergeCell ref="A33:U33"/>
    <mergeCell ref="A34:B35"/>
    <mergeCell ref="H7:I7"/>
    <mergeCell ref="O9:P9"/>
    <mergeCell ref="H8:I8"/>
    <mergeCell ref="AH14:AH15"/>
    <mergeCell ref="Z16:Z17"/>
    <mergeCell ref="AA16:AA17"/>
    <mergeCell ref="AB16:AB17"/>
    <mergeCell ref="AC16:AC17"/>
    <mergeCell ref="AD16:AD17"/>
    <mergeCell ref="AB12:AC12"/>
    <mergeCell ref="AD12:AE12"/>
    <mergeCell ref="AF12:AG12"/>
    <mergeCell ref="Y14:Y15"/>
    <mergeCell ref="Y16:Y17"/>
    <mergeCell ref="AE16:AE17"/>
    <mergeCell ref="AF16:AF17"/>
    <mergeCell ref="AG16:AG17"/>
    <mergeCell ref="Z14:Z15"/>
    <mergeCell ref="AA14:AA15"/>
    <mergeCell ref="AB14:AB15"/>
    <mergeCell ref="AC14:AC15"/>
    <mergeCell ref="AD14:AD15"/>
    <mergeCell ref="AE14:AE15"/>
    <mergeCell ref="AH12:AI12"/>
    <mergeCell ref="O8:P8"/>
    <mergeCell ref="J22:L22"/>
    <mergeCell ref="J23:L23"/>
    <mergeCell ref="J24:L24"/>
    <mergeCell ref="A21:I21"/>
    <mergeCell ref="N1:V2"/>
    <mergeCell ref="T11:T12"/>
    <mergeCell ref="U11:U12"/>
    <mergeCell ref="V11:V12"/>
    <mergeCell ref="O5:S5"/>
    <mergeCell ref="T14:T15"/>
    <mergeCell ref="T16:T17"/>
    <mergeCell ref="F5:L5"/>
    <mergeCell ref="O6:Q6"/>
    <mergeCell ref="T5:V5"/>
    <mergeCell ref="F6:G6"/>
    <mergeCell ref="H6:I6"/>
    <mergeCell ref="J6:K6"/>
    <mergeCell ref="K12:L12"/>
    <mergeCell ref="P12:S12"/>
    <mergeCell ref="E12:F12"/>
    <mergeCell ref="G12:H12"/>
    <mergeCell ref="I12:J12"/>
    <mergeCell ref="F7:G7"/>
    <mergeCell ref="J21:L21"/>
    <mergeCell ref="O7:S7"/>
    <mergeCell ref="C11:L11"/>
    <mergeCell ref="M11:S11"/>
    <mergeCell ref="U14:U15"/>
    <mergeCell ref="F9:G9"/>
    <mergeCell ref="H9:I9"/>
    <mergeCell ref="J9:K9"/>
    <mergeCell ref="U16:U17"/>
    <mergeCell ref="B9:E9"/>
    <mergeCell ref="A12:B13"/>
    <mergeCell ref="C12:D12"/>
    <mergeCell ref="A14:A15"/>
    <mergeCell ref="A16:A17"/>
    <mergeCell ref="A5:A9"/>
    <mergeCell ref="R6:S6"/>
    <mergeCell ref="F8:G8"/>
    <mergeCell ref="N5:N9"/>
    <mergeCell ref="B5:E5"/>
    <mergeCell ref="B6:E6"/>
    <mergeCell ref="B7:E7"/>
    <mergeCell ref="B8:E8"/>
    <mergeCell ref="J8:K8"/>
    <mergeCell ref="J7:K7"/>
    <mergeCell ref="U62:U63"/>
    <mergeCell ref="P58:S58"/>
    <mergeCell ref="U58:U59"/>
    <mergeCell ref="A48:A53"/>
    <mergeCell ref="G34:H34"/>
    <mergeCell ref="I34:J34"/>
    <mergeCell ref="K34:L34"/>
    <mergeCell ref="P34:S34"/>
    <mergeCell ref="A22:I22"/>
    <mergeCell ref="A23:I23"/>
    <mergeCell ref="A24:I24"/>
    <mergeCell ref="C34:D34"/>
    <mergeCell ref="E34:F34"/>
    <mergeCell ref="A11:B11"/>
    <mergeCell ref="A4:V4"/>
    <mergeCell ref="T58:T59"/>
    <mergeCell ref="T60:T61"/>
    <mergeCell ref="T62:T63"/>
    <mergeCell ref="T64:T65"/>
    <mergeCell ref="A32:U32"/>
    <mergeCell ref="T48:T53"/>
    <mergeCell ref="U48:U53"/>
    <mergeCell ref="A60:A61"/>
    <mergeCell ref="A62:A63"/>
    <mergeCell ref="A58:B59"/>
    <mergeCell ref="A64:A65"/>
    <mergeCell ref="U64:U65"/>
    <mergeCell ref="V60:V61"/>
    <mergeCell ref="V62:V63"/>
    <mergeCell ref="V64:V65"/>
    <mergeCell ref="T18:T19"/>
    <mergeCell ref="V14:V15"/>
    <mergeCell ref="V16:V17"/>
    <mergeCell ref="V18:V19"/>
    <mergeCell ref="T34:T35"/>
    <mergeCell ref="U34:U35"/>
    <mergeCell ref="U60:U61"/>
  </mergeCells>
  <phoneticPr fontId="3" type="noConversion"/>
  <conditionalFormatting sqref="C14:S14 C16:S16 C36:S36 C42:S42 C48:S48 C60:S60 C62:S62 C64:S64">
    <cfRule type="containsText" dxfId="23" priority="7" operator="containsText" text="全華">
      <formula>NOT(ISERROR(SEARCH("全華",C14)))</formula>
    </cfRule>
    <cfRule type="containsText" dxfId="22" priority="8" operator="containsText" text="奇鼎">
      <formula>NOT(ISERROR(SEARCH("奇鼎",C14)))</formula>
    </cfRule>
    <cfRule type="containsText" dxfId="21" priority="9" operator="containsText" text="佳音">
      <formula>NOT(ISERROR(SEARCH("佳音",C14)))</formula>
    </cfRule>
    <cfRule type="containsText" dxfId="20" priority="10" operator="containsText" text="南一">
      <formula>NOT(ISERROR(SEARCH("南一",C14)))</formula>
    </cfRule>
    <cfRule type="containsText" dxfId="19" priority="12" operator="containsText" text="翰林">
      <formula>NOT(ISERROR(SEARCH("翰林",C14)))</formula>
    </cfRule>
    <cfRule type="containsText" dxfId="18" priority="13" operator="containsText" text="康軒">
      <formula>NOT(ISERROR(SEARCH("康軒",C14)))</formula>
    </cfRule>
  </conditionalFormatting>
  <conditionalFormatting sqref="C18:S18">
    <cfRule type="containsText" dxfId="17" priority="1" operator="containsText" text="全華">
      <formula>NOT(ISERROR(SEARCH("全華",C18)))</formula>
    </cfRule>
    <cfRule type="containsText" dxfId="16" priority="2" operator="containsText" text="奇鼎">
      <formula>NOT(ISERROR(SEARCH("奇鼎",C18)))</formula>
    </cfRule>
    <cfRule type="containsText" dxfId="15" priority="3" operator="containsText" text="佳音">
      <formula>NOT(ISERROR(SEARCH("佳音",C18)))</formula>
    </cfRule>
    <cfRule type="containsText" dxfId="14" priority="4" operator="containsText" text="南一">
      <formula>NOT(ISERROR(SEARCH("南一",C18)))</formula>
    </cfRule>
    <cfRule type="containsText" dxfId="13" priority="5" operator="containsText" text="翰林">
      <formula>NOT(ISERROR(SEARCH("翰林",C18)))</formula>
    </cfRule>
    <cfRule type="containsText" dxfId="12" priority="6" operator="containsText" text="康軒">
      <formula>NOT(ISERROR(SEARCH("康軒",C18)))</formula>
    </cfRule>
  </conditionalFormatting>
  <dataValidations count="1">
    <dataValidation type="list" allowBlank="1" showInputMessage="1" showErrorMessage="1" sqref="C14:S14 C16:S16 C18:S18 C36:S36 C60:S60 C62:S62 C42:S42 C48:S48 C64:S64" xr:uid="{00000000-0002-0000-0000-000000000000}">
      <formula1>版本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94"/>
  <sheetViews>
    <sheetView tabSelected="1" zoomScale="75" zoomScaleNormal="75" workbookViewId="0">
      <selection activeCell="F86" sqref="F86"/>
    </sheetView>
  </sheetViews>
  <sheetFormatPr defaultColWidth="9" defaultRowHeight="14.25" x14ac:dyDescent="0.25"/>
  <cols>
    <col min="1" max="1" width="9.33203125" style="136" customWidth="1"/>
    <col min="2" max="2" width="13.6640625" style="135" customWidth="1"/>
    <col min="3" max="3" width="12" style="135" customWidth="1"/>
    <col min="4" max="13" width="11.83203125" style="135" customWidth="1"/>
    <col min="14" max="14" width="9.6640625" style="135" customWidth="1"/>
    <col min="15" max="17" width="17.33203125" style="135" customWidth="1"/>
    <col min="18" max="19" width="13.83203125" style="135" customWidth="1"/>
    <col min="20" max="20" width="16.83203125" style="135" customWidth="1"/>
    <col min="21" max="21" width="16.83203125" style="136" customWidth="1"/>
    <col min="22" max="23" width="9" style="136"/>
    <col min="24" max="41" width="11.83203125" style="136" customWidth="1"/>
    <col min="42" max="16384" width="9" style="136"/>
  </cols>
  <sheetData>
    <row r="1" spans="1:41" s="2" customFormat="1" ht="30" x14ac:dyDescent="0.25">
      <c r="A1" s="516" t="s">
        <v>212</v>
      </c>
      <c r="B1" s="516"/>
      <c r="C1" s="516"/>
      <c r="D1" s="516"/>
      <c r="E1" s="516"/>
      <c r="F1" s="516"/>
      <c r="G1" s="516"/>
      <c r="H1" s="516"/>
      <c r="I1" s="516"/>
      <c r="J1" s="516"/>
      <c r="K1" s="4"/>
      <c r="L1" s="4"/>
      <c r="M1" s="4"/>
      <c r="N1" s="321" t="s">
        <v>124</v>
      </c>
      <c r="O1" s="321"/>
      <c r="P1" s="321"/>
      <c r="Q1" s="321"/>
      <c r="R1" s="321"/>
      <c r="S1" s="321"/>
      <c r="T1" s="321"/>
    </row>
    <row r="2" spans="1:41" s="2" customFormat="1" ht="27.75" customHeight="1" x14ac:dyDescent="0.25">
      <c r="A2" s="516" t="s">
        <v>123</v>
      </c>
      <c r="B2" s="516"/>
      <c r="C2" s="516"/>
      <c r="D2" s="516"/>
      <c r="E2" s="516"/>
      <c r="F2" s="516"/>
      <c r="G2" s="516"/>
      <c r="H2" s="516"/>
      <c r="I2" s="516"/>
      <c r="J2" s="516"/>
      <c r="K2" s="4"/>
      <c r="L2" s="4"/>
      <c r="M2" s="4"/>
      <c r="N2" s="321"/>
      <c r="O2" s="321"/>
      <c r="P2" s="321"/>
      <c r="Q2" s="321"/>
      <c r="R2" s="321"/>
      <c r="S2" s="321"/>
      <c r="T2" s="321"/>
    </row>
    <row r="3" spans="1:41" s="2" customForma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41" s="2" customFormat="1" ht="31.35" customHeight="1" thickBot="1" x14ac:dyDescent="0.3">
      <c r="A4" s="225" t="s">
        <v>238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</row>
    <row r="5" spans="1:41" s="2" customFormat="1" ht="24.75" customHeight="1" x14ac:dyDescent="0.25">
      <c r="A5" s="518" t="s">
        <v>165</v>
      </c>
      <c r="B5" s="304" t="s">
        <v>166</v>
      </c>
      <c r="C5" s="521"/>
      <c r="D5" s="521"/>
      <c r="E5" s="522"/>
      <c r="F5" s="327" t="s">
        <v>242</v>
      </c>
      <c r="G5" s="328"/>
      <c r="H5" s="328"/>
      <c r="I5" s="328"/>
      <c r="J5" s="328"/>
      <c r="K5" s="328"/>
      <c r="L5" s="329"/>
      <c r="M5" s="4"/>
      <c r="N5" s="523" t="s">
        <v>213</v>
      </c>
      <c r="O5" s="466" t="s">
        <v>167</v>
      </c>
      <c r="P5" s="305"/>
      <c r="Q5" s="306"/>
      <c r="R5" s="445" t="s">
        <v>168</v>
      </c>
      <c r="S5" s="305"/>
      <c r="T5" s="446"/>
    </row>
    <row r="6" spans="1:41" s="2" customFormat="1" ht="24.75" customHeight="1" x14ac:dyDescent="0.25">
      <c r="A6" s="519"/>
      <c r="B6" s="307" t="s">
        <v>169</v>
      </c>
      <c r="C6" s="526"/>
      <c r="D6" s="526"/>
      <c r="E6" s="332"/>
      <c r="F6" s="307" t="s">
        <v>170</v>
      </c>
      <c r="G6" s="332"/>
      <c r="H6" s="307" t="s">
        <v>171</v>
      </c>
      <c r="I6" s="332"/>
      <c r="J6" s="307" t="s">
        <v>172</v>
      </c>
      <c r="K6" s="332"/>
      <c r="L6" s="39" t="s">
        <v>173</v>
      </c>
      <c r="M6" s="4"/>
      <c r="N6" s="524"/>
      <c r="O6" s="307" t="s">
        <v>174</v>
      </c>
      <c r="P6" s="309"/>
      <c r="Q6" s="158"/>
      <c r="R6" s="153" t="s">
        <v>175</v>
      </c>
      <c r="S6" s="166" t="s">
        <v>176</v>
      </c>
      <c r="T6" s="39" t="s">
        <v>177</v>
      </c>
    </row>
    <row r="7" spans="1:41" s="2" customFormat="1" ht="24.75" customHeight="1" x14ac:dyDescent="0.25">
      <c r="A7" s="519"/>
      <c r="B7" s="307" t="s">
        <v>178</v>
      </c>
      <c r="C7" s="526"/>
      <c r="D7" s="526"/>
      <c r="E7" s="332"/>
      <c r="F7" s="527"/>
      <c r="G7" s="528"/>
      <c r="H7" s="527"/>
      <c r="I7" s="528"/>
      <c r="J7" s="527"/>
      <c r="K7" s="528"/>
      <c r="L7" s="40">
        <f>SUM(F7:K7)</f>
        <v>0</v>
      </c>
      <c r="M7" s="4"/>
      <c r="N7" s="524"/>
      <c r="O7" s="307" t="s">
        <v>56</v>
      </c>
      <c r="P7" s="308"/>
      <c r="Q7" s="309"/>
      <c r="R7" s="172">
        <f>花東B表!F34</f>
        <v>0</v>
      </c>
      <c r="S7" s="68">
        <f>花東B表!G34</f>
        <v>0</v>
      </c>
      <c r="T7" s="40">
        <f>R7+S7</f>
        <v>0</v>
      </c>
    </row>
    <row r="8" spans="1:41" s="2" customFormat="1" ht="24.75" customHeight="1" x14ac:dyDescent="0.25">
      <c r="A8" s="519"/>
      <c r="B8" s="307" t="s">
        <v>129</v>
      </c>
      <c r="C8" s="526"/>
      <c r="D8" s="526"/>
      <c r="E8" s="332"/>
      <c r="F8" s="482"/>
      <c r="G8" s="483"/>
      <c r="H8" s="482"/>
      <c r="I8" s="483"/>
      <c r="J8" s="482"/>
      <c r="K8" s="483"/>
      <c r="L8" s="40">
        <f>SUM(F8:K8)</f>
        <v>0</v>
      </c>
      <c r="M8" s="4"/>
      <c r="N8" s="524"/>
      <c r="O8" s="65" t="s">
        <v>57</v>
      </c>
      <c r="P8" s="153" t="s">
        <v>58</v>
      </c>
      <c r="Q8" s="65" t="s">
        <v>81</v>
      </c>
      <c r="R8" s="153" t="s">
        <v>57</v>
      </c>
      <c r="S8" s="65" t="s">
        <v>58</v>
      </c>
      <c r="T8" s="39" t="s">
        <v>81</v>
      </c>
    </row>
    <row r="9" spans="1:41" s="2" customFormat="1" ht="24.75" customHeight="1" thickBot="1" x14ac:dyDescent="0.3">
      <c r="A9" s="520"/>
      <c r="B9" s="285" t="s">
        <v>51</v>
      </c>
      <c r="C9" s="529"/>
      <c r="D9" s="529"/>
      <c r="E9" s="530"/>
      <c r="F9" s="283">
        <f>F7-F8</f>
        <v>0</v>
      </c>
      <c r="G9" s="284"/>
      <c r="H9" s="283">
        <f>H7-H8</f>
        <v>0</v>
      </c>
      <c r="I9" s="284"/>
      <c r="J9" s="283">
        <f>J7-J8</f>
        <v>0</v>
      </c>
      <c r="K9" s="284"/>
      <c r="L9" s="41">
        <f>SUM(F9:K9)</f>
        <v>0</v>
      </c>
      <c r="M9" s="4"/>
      <c r="N9" s="525"/>
      <c r="O9" s="159"/>
      <c r="P9" s="167"/>
      <c r="Q9" s="103">
        <f>SUM(O9:P9)</f>
        <v>0</v>
      </c>
      <c r="R9" s="173">
        <f>花東B表!D34</f>
        <v>0</v>
      </c>
      <c r="S9" s="43">
        <f>花東B表!E34</f>
        <v>0</v>
      </c>
      <c r="T9" s="41">
        <f>R9+S9</f>
        <v>0</v>
      </c>
    </row>
    <row r="10" spans="1:41" ht="21.75" thickBot="1" x14ac:dyDescent="0.3">
      <c r="D10" s="137"/>
      <c r="E10" s="138"/>
      <c r="F10" s="138"/>
      <c r="G10" s="138"/>
      <c r="H10" s="139"/>
      <c r="J10" s="46"/>
      <c r="K10" s="46"/>
      <c r="L10" s="46"/>
      <c r="M10" s="45"/>
      <c r="N10" s="45"/>
      <c r="O10" s="45"/>
      <c r="P10" s="45"/>
      <c r="Q10" s="45"/>
      <c r="R10" s="45"/>
      <c r="S10" s="45"/>
      <c r="T10" s="45"/>
    </row>
    <row r="11" spans="1:41" ht="24.75" customHeight="1" x14ac:dyDescent="0.25">
      <c r="A11" s="503" t="s">
        <v>179</v>
      </c>
      <c r="B11" s="508" t="s">
        <v>208</v>
      </c>
      <c r="C11" s="509"/>
      <c r="D11" s="490" t="s">
        <v>180</v>
      </c>
      <c r="E11" s="506"/>
      <c r="F11" s="490" t="s">
        <v>181</v>
      </c>
      <c r="G11" s="506"/>
      <c r="H11" s="490" t="s">
        <v>87</v>
      </c>
      <c r="I11" s="506"/>
      <c r="J11" s="490" t="s">
        <v>86</v>
      </c>
      <c r="K11" s="506"/>
      <c r="L11" s="490" t="s">
        <v>182</v>
      </c>
      <c r="M11" s="446"/>
      <c r="O11" s="476" t="s">
        <v>183</v>
      </c>
      <c r="P11" s="467" t="s">
        <v>218</v>
      </c>
      <c r="Q11" s="447" t="s">
        <v>201</v>
      </c>
      <c r="W11"/>
      <c r="X11" s="339" t="s">
        <v>146</v>
      </c>
      <c r="Y11" s="339"/>
      <c r="Z11" s="362"/>
      <c r="AA11" s="362"/>
      <c r="AB11" s="362"/>
      <c r="AC11" s="362"/>
      <c r="AD11" s="362"/>
      <c r="AE11" s="362"/>
      <c r="AF11" s="362"/>
      <c r="AG11" s="362"/>
      <c r="AH11" s="362"/>
      <c r="AI11" s="362"/>
      <c r="AJ11"/>
      <c r="AK11"/>
      <c r="AL11"/>
      <c r="AM11"/>
      <c r="AN11"/>
      <c r="AO11"/>
    </row>
    <row r="12" spans="1:41" ht="24.75" customHeight="1" x14ac:dyDescent="0.25">
      <c r="A12" s="504"/>
      <c r="B12" s="510"/>
      <c r="C12" s="511"/>
      <c r="D12" s="96" t="s">
        <v>184</v>
      </c>
      <c r="E12" s="96" t="s">
        <v>185</v>
      </c>
      <c r="F12" s="96" t="s">
        <v>184</v>
      </c>
      <c r="G12" s="96" t="s">
        <v>185</v>
      </c>
      <c r="H12" s="96" t="s">
        <v>184</v>
      </c>
      <c r="I12" s="96" t="s">
        <v>185</v>
      </c>
      <c r="J12" s="96" t="s">
        <v>184</v>
      </c>
      <c r="K12" s="96" t="s">
        <v>185</v>
      </c>
      <c r="L12" s="96" t="s">
        <v>184</v>
      </c>
      <c r="M12" s="98" t="s">
        <v>94</v>
      </c>
      <c r="O12" s="477"/>
      <c r="P12" s="468"/>
      <c r="Q12" s="448"/>
      <c r="R12" s="132"/>
      <c r="S12" s="133"/>
      <c r="W12" s="109"/>
      <c r="X12" s="373" t="s">
        <v>147</v>
      </c>
      <c r="Y12" s="373"/>
      <c r="Z12" s="342"/>
      <c r="AA12" s="341" t="s">
        <v>221</v>
      </c>
      <c r="AB12" s="341"/>
      <c r="AC12" s="342"/>
      <c r="AD12" s="343" t="s">
        <v>222</v>
      </c>
      <c r="AE12" s="343"/>
      <c r="AF12" s="342"/>
      <c r="AG12" s="344" t="s">
        <v>223</v>
      </c>
      <c r="AH12" s="344"/>
      <c r="AI12" s="342"/>
      <c r="AJ12" s="346" t="s">
        <v>224</v>
      </c>
      <c r="AK12" s="346"/>
      <c r="AL12" s="346"/>
      <c r="AM12"/>
      <c r="AN12"/>
      <c r="AO12"/>
    </row>
    <row r="13" spans="1:41" ht="24.75" customHeight="1" x14ac:dyDescent="0.25">
      <c r="A13" s="504"/>
      <c r="B13" s="480" t="s">
        <v>186</v>
      </c>
      <c r="C13" s="160" t="s">
        <v>202</v>
      </c>
      <c r="D13" s="163" t="s">
        <v>80</v>
      </c>
      <c r="E13" s="163" t="s">
        <v>80</v>
      </c>
      <c r="F13" s="163" t="s">
        <v>80</v>
      </c>
      <c r="G13" s="163" t="s">
        <v>80</v>
      </c>
      <c r="H13" s="163" t="s">
        <v>80</v>
      </c>
      <c r="I13" s="163" t="s">
        <v>80</v>
      </c>
      <c r="J13" s="163" t="s">
        <v>80</v>
      </c>
      <c r="K13" s="163" t="s">
        <v>80</v>
      </c>
      <c r="L13" s="164" t="s">
        <v>80</v>
      </c>
      <c r="M13" s="165" t="s">
        <v>80</v>
      </c>
      <c r="O13" s="478">
        <f>SUM(D14:M14)</f>
        <v>0</v>
      </c>
      <c r="P13" s="438">
        <f>O13*F9</f>
        <v>0</v>
      </c>
      <c r="Q13" s="449">
        <f>O13*F8</f>
        <v>0</v>
      </c>
      <c r="R13" s="133"/>
      <c r="S13" s="133"/>
      <c r="W13" s="1"/>
      <c r="X13" s="109" t="s">
        <v>219</v>
      </c>
      <c r="Y13" s="181" t="s">
        <v>220</v>
      </c>
      <c r="Z13" s="110" t="s">
        <v>151</v>
      </c>
      <c r="AA13" s="109" t="s">
        <v>219</v>
      </c>
      <c r="AB13" s="181" t="s">
        <v>220</v>
      </c>
      <c r="AC13" s="110" t="s">
        <v>151</v>
      </c>
      <c r="AD13" s="109" t="s">
        <v>219</v>
      </c>
      <c r="AE13" s="181" t="s">
        <v>220</v>
      </c>
      <c r="AF13" s="110" t="s">
        <v>151</v>
      </c>
      <c r="AG13" s="109" t="s">
        <v>219</v>
      </c>
      <c r="AH13" s="181" t="s">
        <v>220</v>
      </c>
      <c r="AI13" s="110" t="s">
        <v>151</v>
      </c>
      <c r="AJ13" s="109" t="s">
        <v>219</v>
      </c>
      <c r="AK13" s="181" t="s">
        <v>220</v>
      </c>
      <c r="AL13" s="110" t="s">
        <v>151</v>
      </c>
      <c r="AM13"/>
      <c r="AN13"/>
      <c r="AO13"/>
    </row>
    <row r="14" spans="1:41" ht="24.75" customHeight="1" x14ac:dyDescent="0.25">
      <c r="A14" s="504"/>
      <c r="B14" s="481"/>
      <c r="C14" s="160" t="s">
        <v>203</v>
      </c>
      <c r="D14" s="127" t="str">
        <f>VLOOKUP(D13,工作表3!$A$5:$AZ$12,2,FALSE)</f>
        <v>金額</v>
      </c>
      <c r="E14" s="127" t="str">
        <f>VLOOKUP(E13,工作表3!$A$5:$AZ$12,3,FALSE)</f>
        <v>金額</v>
      </c>
      <c r="F14" s="127" t="str">
        <f>VLOOKUP(F13,工作表3!$A$5:$AZ$12,4,FALSE)</f>
        <v>金額</v>
      </c>
      <c r="G14" s="127" t="str">
        <f>VLOOKUP(G13,工作表3!$A$5:$AZ$12,5,FALSE)</f>
        <v>金額</v>
      </c>
      <c r="H14" s="127" t="str">
        <f>VLOOKUP(H13,工作表3!$A$5:$AZ$12,6,FALSE)</f>
        <v>金額</v>
      </c>
      <c r="I14" s="127" t="str">
        <f>VLOOKUP(I13,工作表3!$A$5:$AZ$12,7,FALSE)</f>
        <v>金額</v>
      </c>
      <c r="J14" s="127" t="str">
        <f>VLOOKUP(J13,工作表3!$A$5:$AZ$12,8,FALSE)</f>
        <v>金額</v>
      </c>
      <c r="K14" s="127" t="str">
        <f>VLOOKUP(K13,工作表3!$A$5:$AZ$12,9,FALSE)</f>
        <v>金額</v>
      </c>
      <c r="L14" s="127" t="str">
        <f>VLOOKUP(L13,工作表3!$A$5:$AZ$12,10,FALSE)</f>
        <v>金額</v>
      </c>
      <c r="M14" s="128" t="str">
        <f>VLOOKUP(M13,工作表3!$A$5:$AZ$12,11,FALSE)</f>
        <v>金額</v>
      </c>
      <c r="O14" s="479"/>
      <c r="P14" s="469"/>
      <c r="Q14" s="450"/>
      <c r="R14" s="132"/>
      <c r="S14" s="132"/>
      <c r="W14" s="345" t="s">
        <v>154</v>
      </c>
      <c r="X14" s="339">
        <f>SUMIF(D13:M13,"康軒",D14:M14)*F9</f>
        <v>0</v>
      </c>
      <c r="Y14" s="374">
        <f>SUMIF(D23:J23,"康軒",D26:J26)</f>
        <v>0</v>
      </c>
      <c r="Z14" s="340">
        <f>SUMIF(D13:M13,"康軒",D14:M14)*F8</f>
        <v>0</v>
      </c>
      <c r="AA14" s="339">
        <f>SUMIF(D13:M13,"翰林",D14:M14)*F9+AN15</f>
        <v>0</v>
      </c>
      <c r="AB14" s="374">
        <f>SUMIF(D23:J23,"翰林",D26:J26)</f>
        <v>0</v>
      </c>
      <c r="AC14" s="340">
        <f>SUMIF(D13:M13,"翰林",D14:M14)*F8+AO15</f>
        <v>0</v>
      </c>
      <c r="AD14" s="339">
        <f>SUMIF(D13:M13,"南一",D14:M14)*F9</f>
        <v>0</v>
      </c>
      <c r="AE14" s="374">
        <f>SUMIF(D23:J23,"南一",D26:J26)</f>
        <v>0</v>
      </c>
      <c r="AF14" s="340">
        <f>SUMIF(D13:M13,"南一",D14:M14)*F8</f>
        <v>0</v>
      </c>
      <c r="AG14" s="339">
        <f>SUMIF(D13:M13,"奇鼎",D14:M14)*F9</f>
        <v>0</v>
      </c>
      <c r="AH14" s="374">
        <f>SUMIF(D23:J23,"奇鼎",D26:J26)</f>
        <v>0</v>
      </c>
      <c r="AI14" s="340">
        <f>SUMIF(D13:M13,"奇鼎",D14:M14)*F8</f>
        <v>0</v>
      </c>
      <c r="AJ14" s="339">
        <f>SUMIF(D13:M13,"全華",D14:M14)*F9</f>
        <v>0</v>
      </c>
      <c r="AK14" s="374">
        <f>SUMIF(D23:J23,"全華",D26:J26)</f>
        <v>0</v>
      </c>
      <c r="AL14" s="340">
        <f>SUMIF(D13:M13,"全華",D14:M14)*F8</f>
        <v>0</v>
      </c>
      <c r="AM14" s="115"/>
      <c r="AN14" s="109" t="s">
        <v>219</v>
      </c>
      <c r="AO14" s="110" t="s">
        <v>151</v>
      </c>
    </row>
    <row r="15" spans="1:41" ht="24.75" customHeight="1" x14ac:dyDescent="0.25">
      <c r="A15" s="504"/>
      <c r="B15" s="480" t="s">
        <v>187</v>
      </c>
      <c r="C15" s="160" t="s">
        <v>202</v>
      </c>
      <c r="D15" s="163" t="s">
        <v>80</v>
      </c>
      <c r="E15" s="163" t="s">
        <v>80</v>
      </c>
      <c r="F15" s="163" t="s">
        <v>80</v>
      </c>
      <c r="G15" s="163" t="s">
        <v>80</v>
      </c>
      <c r="H15" s="163" t="s">
        <v>80</v>
      </c>
      <c r="I15" s="163" t="s">
        <v>80</v>
      </c>
      <c r="J15" s="163" t="s">
        <v>80</v>
      </c>
      <c r="K15" s="163" t="s">
        <v>80</v>
      </c>
      <c r="L15" s="164" t="s">
        <v>80</v>
      </c>
      <c r="M15" s="165" t="s">
        <v>80</v>
      </c>
      <c r="O15" s="478">
        <f>SUM(D16:M16)</f>
        <v>0</v>
      </c>
      <c r="P15" s="438">
        <f>O15*H9</f>
        <v>0</v>
      </c>
      <c r="Q15" s="449">
        <f>O15*H8</f>
        <v>0</v>
      </c>
      <c r="R15" s="132"/>
      <c r="S15" s="132"/>
      <c r="W15" s="345"/>
      <c r="X15" s="339"/>
      <c r="Y15" s="374"/>
      <c r="Z15" s="340"/>
      <c r="AA15" s="339"/>
      <c r="AB15" s="374"/>
      <c r="AC15" s="340"/>
      <c r="AD15" s="339"/>
      <c r="AE15" s="374"/>
      <c r="AF15" s="340"/>
      <c r="AG15" s="339"/>
      <c r="AH15" s="374"/>
      <c r="AI15" s="340"/>
      <c r="AJ15" s="339"/>
      <c r="AK15" s="374"/>
      <c r="AL15" s="340"/>
      <c r="AM15" s="117" t="s">
        <v>159</v>
      </c>
      <c r="AN15" s="115">
        <f>SUMIF(D13:M13,"佳音",D14:M14)*F9</f>
        <v>0</v>
      </c>
      <c r="AO15" s="116">
        <f>SUMIF(D13:M13,"佳音",D14:M14)*F8</f>
        <v>0</v>
      </c>
    </row>
    <row r="16" spans="1:41" ht="24.75" customHeight="1" x14ac:dyDescent="0.25">
      <c r="A16" s="504"/>
      <c r="B16" s="481"/>
      <c r="C16" s="160" t="s">
        <v>203</v>
      </c>
      <c r="D16" s="127" t="str">
        <f>VLOOKUP(D15,工作表3!$A$4:$AZ$12,19,FALSE)</f>
        <v>金額</v>
      </c>
      <c r="E16" s="127" t="str">
        <f>VLOOKUP(E15,工作表3!$A$4:$AZ$12,20,FALSE)</f>
        <v>金額</v>
      </c>
      <c r="F16" s="127" t="str">
        <f>VLOOKUP(F15,工作表3!$A$4:$AZ$12,21,FALSE)</f>
        <v>金額</v>
      </c>
      <c r="G16" s="127" t="str">
        <f>VLOOKUP(G15,工作表3!$A$4:$AZ$12,22,FALSE)</f>
        <v>金額</v>
      </c>
      <c r="H16" s="127" t="str">
        <f>VLOOKUP(H15,工作表3!$A$4:$AZ$12,23,FALSE)</f>
        <v>金額</v>
      </c>
      <c r="I16" s="127" t="str">
        <f>VLOOKUP(I15,工作表3!$A$4:$AZ$12,24,FALSE)</f>
        <v>金額</v>
      </c>
      <c r="J16" s="127" t="str">
        <f>VLOOKUP(J15,工作表3!$A$4:$AZ$12,25,FALSE)</f>
        <v>金額</v>
      </c>
      <c r="K16" s="127" t="str">
        <f>VLOOKUP(K15,工作表3!$A$4:$AZ$12,26,FALSE)</f>
        <v>金額</v>
      </c>
      <c r="L16" s="127" t="str">
        <f>VLOOKUP(L15,工作表3!$A$4:$AZ$12,27,FALSE)</f>
        <v>金額</v>
      </c>
      <c r="M16" s="128" t="str">
        <f>VLOOKUP(M15,工作表3!$A$4:$AZ$12,28,FALSE)</f>
        <v>金額</v>
      </c>
      <c r="O16" s="479"/>
      <c r="P16" s="469"/>
      <c r="Q16" s="450"/>
      <c r="R16" s="132"/>
      <c r="S16" s="132"/>
      <c r="W16" s="345" t="s">
        <v>155</v>
      </c>
      <c r="X16" s="339">
        <f>SUMIF(D15:M15,"康軒",D16:M16)*H9</f>
        <v>0</v>
      </c>
      <c r="Y16" s="374">
        <f>SUMIF(D27:J27,"康軒",D30:J30)</f>
        <v>0</v>
      </c>
      <c r="Z16" s="340">
        <f>SUMIF(D15:M15,"康軒",D16:M16)*H8</f>
        <v>0</v>
      </c>
      <c r="AA16" s="339">
        <f>SUMIF(D15:M15,"翰林",D16:M16)*H9+AN17</f>
        <v>0</v>
      </c>
      <c r="AB16" s="374">
        <f>SUMIF(D27:J27,"翰林",D30:J30)</f>
        <v>0</v>
      </c>
      <c r="AC16" s="340">
        <f>SUMIF(D15:M15,"翰林",D16:M16)*H8+AO17</f>
        <v>0</v>
      </c>
      <c r="AD16" s="339">
        <f>SUMIF(D15:M15,"南一",D16:M16)*H9</f>
        <v>0</v>
      </c>
      <c r="AE16" s="374">
        <f>SUMIF(D27:J27,"南一",D30:J30)</f>
        <v>0</v>
      </c>
      <c r="AF16" s="340">
        <f>SUMIF(D15:M15,"南一",D16:M16)*H8</f>
        <v>0</v>
      </c>
      <c r="AG16" s="339">
        <f>SUMIF(D15:M15,"奇鼎",D16:M16)*H9</f>
        <v>0</v>
      </c>
      <c r="AH16" s="374">
        <f>SUMIF(D27:J27,"奇鼎",D30:J30)</f>
        <v>0</v>
      </c>
      <c r="AI16" s="340">
        <f>SUMIF(D15:M15,"奇鼎",D16:M16)*H8</f>
        <v>0</v>
      </c>
      <c r="AJ16" s="339">
        <f>SUMIF(D15:M15,"全華",D16:M16)*H9</f>
        <v>0</v>
      </c>
      <c r="AK16" s="374">
        <f>SUMIF(D27:J27,"全華",D30:J30)</f>
        <v>0</v>
      </c>
      <c r="AL16" s="340">
        <f>SUMIF(D15:M15,"全華",D16:M16)*H8</f>
        <v>0</v>
      </c>
      <c r="AM16" s="109"/>
      <c r="AN16" s="109"/>
      <c r="AO16" s="110"/>
    </row>
    <row r="17" spans="1:41" ht="24.75" customHeight="1" x14ac:dyDescent="0.25">
      <c r="A17" s="504"/>
      <c r="B17" s="480" t="s">
        <v>188</v>
      </c>
      <c r="C17" s="160" t="s">
        <v>202</v>
      </c>
      <c r="D17" s="164" t="s">
        <v>80</v>
      </c>
      <c r="E17" s="163" t="s">
        <v>80</v>
      </c>
      <c r="F17" s="164" t="s">
        <v>80</v>
      </c>
      <c r="G17" s="163" t="s">
        <v>80</v>
      </c>
      <c r="H17" s="164" t="s">
        <v>80</v>
      </c>
      <c r="I17" s="163" t="s">
        <v>80</v>
      </c>
      <c r="J17" s="164" t="s">
        <v>80</v>
      </c>
      <c r="K17" s="163" t="s">
        <v>80</v>
      </c>
      <c r="L17" s="164" t="s">
        <v>80</v>
      </c>
      <c r="M17" s="165" t="s">
        <v>80</v>
      </c>
      <c r="O17" s="478">
        <f>SUM(D18:M18)</f>
        <v>0</v>
      </c>
      <c r="P17" s="438">
        <f>O17*J9</f>
        <v>0</v>
      </c>
      <c r="Q17" s="449">
        <f>O17*J8</f>
        <v>0</v>
      </c>
      <c r="R17" s="134"/>
      <c r="S17" s="134"/>
      <c r="W17" s="345"/>
      <c r="X17" s="339"/>
      <c r="Y17" s="374"/>
      <c r="Z17" s="340"/>
      <c r="AA17" s="339"/>
      <c r="AB17" s="374"/>
      <c r="AC17" s="340"/>
      <c r="AD17" s="339"/>
      <c r="AE17" s="374"/>
      <c r="AF17" s="340"/>
      <c r="AG17" s="339"/>
      <c r="AH17" s="374"/>
      <c r="AI17" s="340"/>
      <c r="AJ17" s="339"/>
      <c r="AK17" s="374"/>
      <c r="AL17" s="340"/>
      <c r="AM17" s="117" t="s">
        <v>159</v>
      </c>
      <c r="AN17" s="115">
        <f>SUMIF(D15:M15,"佳音",D16:M16)*H9</f>
        <v>0</v>
      </c>
      <c r="AO17" s="116">
        <f>SUMIF(D15:M15,"佳音",D16:M16)*H8</f>
        <v>0</v>
      </c>
    </row>
    <row r="18" spans="1:41" ht="24.75" customHeight="1" thickBot="1" x14ac:dyDescent="0.3">
      <c r="A18" s="505"/>
      <c r="B18" s="517"/>
      <c r="C18" s="162" t="s">
        <v>203</v>
      </c>
      <c r="D18" s="147" t="str">
        <f>VLOOKUP(D17,工作表3!$A$4:$AZ$12,36,FALSE)</f>
        <v>金額</v>
      </c>
      <c r="E18" s="147" t="str">
        <f>VLOOKUP(E17,工作表3!$A$4:$AZ$12,37,FALSE)</f>
        <v>金額</v>
      </c>
      <c r="F18" s="147" t="str">
        <f>VLOOKUP(F17,工作表3!$A$4:$AZ$12,38,FALSE)</f>
        <v>金額</v>
      </c>
      <c r="G18" s="147" t="str">
        <f>VLOOKUP(G17,工作表3!$A$4:$AZ$12,39,FALSE)</f>
        <v>金額</v>
      </c>
      <c r="H18" s="147" t="str">
        <f>VLOOKUP(H17,工作表3!$A$4:$AZ$12,40,FALSE)</f>
        <v>金額</v>
      </c>
      <c r="I18" s="147" t="str">
        <f>VLOOKUP(I17,工作表3!$A$4:$AZ$12,41,FALSE)</f>
        <v>金額</v>
      </c>
      <c r="J18" s="147" t="str">
        <f>VLOOKUP(J17,工作表3!$A$4:$AZ$12,42,FALSE)</f>
        <v>金額</v>
      </c>
      <c r="K18" s="147" t="str">
        <f>VLOOKUP(K17,工作表3!$A$4:$AZ$12,43,FALSE)</f>
        <v>金額</v>
      </c>
      <c r="L18" s="147" t="str">
        <f>VLOOKUP(L17,工作表3!$A$4:$AZ$12,44,FALSE)</f>
        <v>金額</v>
      </c>
      <c r="M18" s="170" t="str">
        <f>VLOOKUP(M17,工作表3!$A$4:$AZ$12,45,FALSE)</f>
        <v>金額</v>
      </c>
      <c r="O18" s="479"/>
      <c r="P18" s="469"/>
      <c r="Q18" s="450"/>
      <c r="R18" s="134"/>
      <c r="S18" s="134"/>
      <c r="W18" s="345" t="s">
        <v>156</v>
      </c>
      <c r="X18" s="339">
        <f>SUMIF(D17:M17,"康軒",D18:M18)*J9</f>
        <v>0</v>
      </c>
      <c r="Y18" s="374">
        <f>SUMIF(D31:J31,"康軒",D34:J34)</f>
        <v>0</v>
      </c>
      <c r="Z18" s="340">
        <f>SUMIF(D17:M17,"康軒",D18:M18)*J8</f>
        <v>0</v>
      </c>
      <c r="AA18" s="339">
        <f>SUMIF(D17:M17,"翰林",D18:M18)*J9+AN19</f>
        <v>0</v>
      </c>
      <c r="AB18" s="374">
        <f>SUMIF(D31:J31,"翰林",D34:J34)</f>
        <v>0</v>
      </c>
      <c r="AC18" s="340">
        <f>SUMIF(D17:M17,"翰林",D18:M18)*J8+AO19</f>
        <v>0</v>
      </c>
      <c r="AD18" s="339">
        <f>SUMIF(D17:M17,"南一",D18:M18)*J9</f>
        <v>0</v>
      </c>
      <c r="AE18" s="374">
        <f>SUMIF(D31:J31,"南一",D34:J34)</f>
        <v>0</v>
      </c>
      <c r="AF18" s="340">
        <f>SUMIF(D17:M17,"南一",D18:M18)*J8</f>
        <v>0</v>
      </c>
      <c r="AG18" s="339">
        <f>SUMIF(D17:M17,"奇鼎",D18:M18)*J9</f>
        <v>0</v>
      </c>
      <c r="AH18" s="374">
        <f>SUMIF(D31:J31,"奇鼎",D34:J34)</f>
        <v>0</v>
      </c>
      <c r="AI18" s="340">
        <f>SUMIF(D17:M17,"奇鼎",D18:M18)*J8</f>
        <v>0</v>
      </c>
      <c r="AJ18" s="339">
        <f>SUMIF(D17:M17,"全華",D18:M18)*J9</f>
        <v>0</v>
      </c>
      <c r="AK18" s="374">
        <f>SUMIF(D31:J31,"全華",D34:J34)</f>
        <v>0</v>
      </c>
      <c r="AL18" s="340">
        <f>SUMIF(D17:M17,"全華",D18:M18)*J8</f>
        <v>0</v>
      </c>
      <c r="AM18" s="109"/>
      <c r="AN18" s="109"/>
      <c r="AO18" s="110"/>
    </row>
    <row r="19" spans="1:41" ht="37.5" thickBot="1" x14ac:dyDescent="0.3">
      <c r="A19" s="141"/>
      <c r="B19" s="142"/>
      <c r="C19" s="142"/>
      <c r="D19" s="129"/>
      <c r="E19" s="129"/>
      <c r="F19" s="129"/>
      <c r="G19" s="129"/>
      <c r="H19" s="129"/>
      <c r="I19" s="129"/>
      <c r="J19" s="129"/>
      <c r="K19" s="129"/>
      <c r="L19" s="143"/>
      <c r="M19" s="143"/>
      <c r="O19" s="171" t="s">
        <v>189</v>
      </c>
      <c r="P19" s="168">
        <f>SUM(P13:P18)</f>
        <v>0</v>
      </c>
      <c r="Q19" s="174">
        <f>SUM(Q13:Q18)</f>
        <v>0</v>
      </c>
      <c r="W19" s="345"/>
      <c r="X19" s="339"/>
      <c r="Y19" s="374"/>
      <c r="Z19" s="340"/>
      <c r="AA19" s="339"/>
      <c r="AB19" s="374"/>
      <c r="AC19" s="340"/>
      <c r="AD19" s="339"/>
      <c r="AE19" s="374"/>
      <c r="AF19" s="340"/>
      <c r="AG19" s="339"/>
      <c r="AH19" s="374"/>
      <c r="AI19" s="340"/>
      <c r="AJ19" s="339"/>
      <c r="AK19" s="374"/>
      <c r="AL19" s="340"/>
      <c r="AM19" s="117" t="s">
        <v>159</v>
      </c>
      <c r="AN19" s="115">
        <f>SUMIF(D17:M17,"佳音",D18:M18)*J9</f>
        <v>0</v>
      </c>
      <c r="AO19" s="116">
        <f>SUMIF(D17:M17,"佳音",D18:M18)*J8</f>
        <v>0</v>
      </c>
    </row>
    <row r="20" spans="1:41" ht="24.75" customHeight="1" thickBot="1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W20" s="371" t="s">
        <v>11</v>
      </c>
      <c r="X20" s="372">
        <f>SUM(X14:X19)</f>
        <v>0</v>
      </c>
      <c r="Y20" s="375">
        <f>SUM(Y14:Y19)</f>
        <v>0</v>
      </c>
      <c r="Z20" s="370">
        <f t="shared" ref="Z20:AL20" si="0">SUM(Z14:Z19)</f>
        <v>0</v>
      </c>
      <c r="AA20" s="372">
        <f t="shared" si="0"/>
        <v>0</v>
      </c>
      <c r="AB20" s="375">
        <f>SUM(AB14:AB19)</f>
        <v>0</v>
      </c>
      <c r="AC20" s="370">
        <f t="shared" si="0"/>
        <v>0</v>
      </c>
      <c r="AD20" s="372">
        <f t="shared" si="0"/>
        <v>0</v>
      </c>
      <c r="AE20" s="375">
        <f>SUM(AE14:AE19)</f>
        <v>0</v>
      </c>
      <c r="AF20" s="370">
        <f t="shared" si="0"/>
        <v>0</v>
      </c>
      <c r="AG20" s="372">
        <f>SUM(AG14:AG19)</f>
        <v>0</v>
      </c>
      <c r="AH20" s="375">
        <f>SUM(AH14:AH19)</f>
        <v>0</v>
      </c>
      <c r="AI20" s="370">
        <f t="shared" si="0"/>
        <v>0</v>
      </c>
      <c r="AJ20" s="372">
        <f t="shared" si="0"/>
        <v>0</v>
      </c>
      <c r="AK20" s="375">
        <f>SUM(AK14:AK19)</f>
        <v>0</v>
      </c>
      <c r="AL20" s="370">
        <f t="shared" si="0"/>
        <v>0</v>
      </c>
      <c r="AM20" s="115"/>
      <c r="AN20" s="115"/>
      <c r="AO20" s="115"/>
    </row>
    <row r="21" spans="1:41" ht="24.75" customHeight="1" x14ac:dyDescent="0.25">
      <c r="A21" s="500" t="s">
        <v>246</v>
      </c>
      <c r="B21" s="512" t="s">
        <v>209</v>
      </c>
      <c r="C21" s="513"/>
      <c r="D21" s="155" t="s">
        <v>191</v>
      </c>
      <c r="E21" s="155" t="s">
        <v>192</v>
      </c>
      <c r="F21" s="154" t="s">
        <v>193</v>
      </c>
      <c r="G21" s="490" t="s">
        <v>194</v>
      </c>
      <c r="H21" s="306"/>
      <c r="I21" s="490" t="s">
        <v>210</v>
      </c>
      <c r="J21" s="306"/>
      <c r="K21" s="488" t="s">
        <v>244</v>
      </c>
      <c r="L21" s="462"/>
      <c r="M21" s="144"/>
      <c r="O21" s="470" t="s">
        <v>217</v>
      </c>
      <c r="P21" s="451"/>
      <c r="Q21" s="452"/>
      <c r="R21" s="136"/>
      <c r="W21" s="371"/>
      <c r="X21" s="372"/>
      <c r="Y21" s="375"/>
      <c r="Z21" s="370"/>
      <c r="AA21" s="372"/>
      <c r="AB21" s="375"/>
      <c r="AC21" s="370"/>
      <c r="AD21" s="372"/>
      <c r="AE21" s="375"/>
      <c r="AF21" s="370"/>
      <c r="AG21" s="372"/>
      <c r="AH21" s="375"/>
      <c r="AI21" s="370"/>
      <c r="AJ21" s="372"/>
      <c r="AK21" s="375"/>
      <c r="AL21" s="370"/>
      <c r="AM21" s="115"/>
      <c r="AN21" s="115"/>
      <c r="AO21" s="115"/>
    </row>
    <row r="22" spans="1:41" ht="24.75" customHeight="1" x14ac:dyDescent="0.25">
      <c r="A22" s="501"/>
      <c r="B22" s="514"/>
      <c r="C22" s="515"/>
      <c r="D22" s="96" t="s">
        <v>184</v>
      </c>
      <c r="E22" s="96" t="s">
        <v>184</v>
      </c>
      <c r="F22" s="96" t="s">
        <v>184</v>
      </c>
      <c r="G22" s="96" t="s">
        <v>184</v>
      </c>
      <c r="H22" s="96" t="s">
        <v>185</v>
      </c>
      <c r="I22" s="96" t="s">
        <v>184</v>
      </c>
      <c r="J22" s="96" t="s">
        <v>185</v>
      </c>
      <c r="K22" s="457"/>
      <c r="L22" s="489"/>
      <c r="M22" s="144"/>
      <c r="O22" s="471"/>
      <c r="P22" s="452"/>
      <c r="Q22" s="452"/>
      <c r="R22" s="136"/>
      <c r="W22" s="21" t="s">
        <v>153</v>
      </c>
      <c r="X22" s="347">
        <f>SUM(X20:Z21)</f>
        <v>0</v>
      </c>
      <c r="Y22" s="347"/>
      <c r="Z22" s="348"/>
      <c r="AA22" s="347">
        <f>SUM(AA20:AC21)</f>
        <v>0</v>
      </c>
      <c r="AB22" s="347"/>
      <c r="AC22" s="348"/>
      <c r="AD22" s="347">
        <f>SUM(AD20:AF21)</f>
        <v>0</v>
      </c>
      <c r="AE22" s="347"/>
      <c r="AF22" s="348"/>
      <c r="AG22" s="347">
        <f>SUM(AG20:AI21)</f>
        <v>0</v>
      </c>
      <c r="AH22" s="347"/>
      <c r="AI22" s="348"/>
      <c r="AJ22" s="347">
        <f>SUM(AJ20:AL21)</f>
        <v>0</v>
      </c>
      <c r="AK22" s="347"/>
      <c r="AL22" s="348"/>
      <c r="AM22" s="115"/>
      <c r="AN22" s="115"/>
      <c r="AO22" s="115"/>
    </row>
    <row r="23" spans="1:41" ht="24.75" customHeight="1" x14ac:dyDescent="0.25">
      <c r="A23" s="501"/>
      <c r="B23" s="484" t="s">
        <v>186</v>
      </c>
      <c r="C23" s="160" t="s">
        <v>202</v>
      </c>
      <c r="D23" s="164" t="s">
        <v>80</v>
      </c>
      <c r="E23" s="164" t="s">
        <v>80</v>
      </c>
      <c r="F23" s="164" t="s">
        <v>80</v>
      </c>
      <c r="G23" s="164" t="s">
        <v>80</v>
      </c>
      <c r="H23" s="164" t="s">
        <v>80</v>
      </c>
      <c r="I23" s="169" t="str">
        <f>G23</f>
        <v>版本</v>
      </c>
      <c r="J23" s="169" t="str">
        <f>H23</f>
        <v>版本</v>
      </c>
      <c r="K23" s="491">
        <f>SUM(D26:J26)</f>
        <v>0</v>
      </c>
      <c r="L23" s="492"/>
      <c r="M23" s="145"/>
      <c r="O23" s="471"/>
      <c r="P23" s="452"/>
      <c r="Q23" s="452"/>
      <c r="R23" s="136"/>
    </row>
    <row r="24" spans="1:41" ht="24.75" customHeight="1" x14ac:dyDescent="0.25">
      <c r="A24" s="501"/>
      <c r="B24" s="485"/>
      <c r="C24" s="160" t="s">
        <v>203</v>
      </c>
      <c r="D24" s="127" t="str">
        <f>VLOOKUP(D23,工作表3!$A$5:$AZ$12,12,FALSE)</f>
        <v>金額</v>
      </c>
      <c r="E24" s="127" t="str">
        <f>VLOOKUP(E23,工作表3!$A$5:$AZ$12,13,FALSE)</f>
        <v>金額</v>
      </c>
      <c r="F24" s="127" t="str">
        <f>VLOOKUP(F23,工作表3!$A$5:$AZ$12,14,FALSE)</f>
        <v>金額</v>
      </c>
      <c r="G24" s="127" t="str">
        <f>VLOOKUP(G23,工作表3!$A$5:$AZ$12,15,FALSE)</f>
        <v>金額</v>
      </c>
      <c r="H24" s="127" t="str">
        <f>VLOOKUP(H23,工作表3!$A$5:$AZ$12,16,FALSE)</f>
        <v>金額</v>
      </c>
      <c r="I24" s="127" t="str">
        <f>VLOOKUP(I23,工作表3!$A$5:$AZ$12,17,FALSE)</f>
        <v>金額</v>
      </c>
      <c r="J24" s="127" t="str">
        <f>VLOOKUP(J23,工作表3!$A$5:$AZ$12,18,FALSE)</f>
        <v>金額</v>
      </c>
      <c r="K24" s="493"/>
      <c r="L24" s="494"/>
      <c r="M24" s="146"/>
      <c r="O24" s="471"/>
      <c r="P24" s="452"/>
      <c r="Q24" s="452"/>
      <c r="R24" s="136"/>
    </row>
    <row r="25" spans="1:41" ht="24.75" customHeight="1" x14ac:dyDescent="0.25">
      <c r="A25" s="501"/>
      <c r="B25" s="486"/>
      <c r="C25" s="161" t="s">
        <v>204</v>
      </c>
      <c r="D25" s="150"/>
      <c r="E25" s="150"/>
      <c r="F25" s="150"/>
      <c r="G25" s="150"/>
      <c r="H25" s="150"/>
      <c r="I25" s="150"/>
      <c r="J25" s="150"/>
      <c r="K25" s="493"/>
      <c r="L25" s="494"/>
      <c r="M25" s="146"/>
      <c r="O25" s="470" t="s">
        <v>214</v>
      </c>
      <c r="P25" s="453">
        <f>P19</f>
        <v>0</v>
      </c>
      <c r="Q25" s="454"/>
      <c r="R25" s="136"/>
    </row>
    <row r="26" spans="1:41" ht="24.75" customHeight="1" x14ac:dyDescent="0.25">
      <c r="A26" s="501"/>
      <c r="B26" s="487"/>
      <c r="C26" s="160" t="s">
        <v>205</v>
      </c>
      <c r="D26" s="127">
        <f>IF(ISERROR(D24*D25),,D24*D25)</f>
        <v>0</v>
      </c>
      <c r="E26" s="127">
        <f t="shared" ref="E26:J26" si="1">IF(ISERROR(E24*E25),,E24*E25)</f>
        <v>0</v>
      </c>
      <c r="F26" s="127">
        <f t="shared" si="1"/>
        <v>0</v>
      </c>
      <c r="G26" s="127">
        <f t="shared" si="1"/>
        <v>0</v>
      </c>
      <c r="H26" s="127">
        <f t="shared" si="1"/>
        <v>0</v>
      </c>
      <c r="I26" s="127">
        <f t="shared" si="1"/>
        <v>0</v>
      </c>
      <c r="J26" s="127">
        <f t="shared" si="1"/>
        <v>0</v>
      </c>
      <c r="K26" s="495"/>
      <c r="L26" s="496"/>
      <c r="M26" s="146"/>
      <c r="O26" s="471"/>
      <c r="P26" s="455"/>
      <c r="Q26" s="456"/>
      <c r="R26" s="136"/>
    </row>
    <row r="27" spans="1:41" ht="24.75" customHeight="1" x14ac:dyDescent="0.25">
      <c r="A27" s="501"/>
      <c r="B27" s="484" t="s">
        <v>206</v>
      </c>
      <c r="C27" s="160" t="s">
        <v>202</v>
      </c>
      <c r="D27" s="164" t="s">
        <v>80</v>
      </c>
      <c r="E27" s="164" t="s">
        <v>80</v>
      </c>
      <c r="F27" s="164" t="s">
        <v>80</v>
      </c>
      <c r="G27" s="164" t="s">
        <v>80</v>
      </c>
      <c r="H27" s="164" t="s">
        <v>80</v>
      </c>
      <c r="I27" s="169" t="s">
        <v>80</v>
      </c>
      <c r="J27" s="169" t="str">
        <f>H27</f>
        <v>版本</v>
      </c>
      <c r="K27" s="491">
        <f>SUM(D30:J30)</f>
        <v>0</v>
      </c>
      <c r="L27" s="492"/>
      <c r="M27" s="145"/>
      <c r="O27" s="471"/>
      <c r="P27" s="457"/>
      <c r="Q27" s="458"/>
      <c r="R27" s="136"/>
    </row>
    <row r="28" spans="1:41" ht="24.75" customHeight="1" x14ac:dyDescent="0.25">
      <c r="A28" s="501"/>
      <c r="B28" s="485"/>
      <c r="C28" s="160" t="s">
        <v>203</v>
      </c>
      <c r="D28" s="127" t="str">
        <f>VLOOKUP(D27,工作表3!$A$4:$AZ$12,29,FALSE)</f>
        <v>金額</v>
      </c>
      <c r="E28" s="127" t="str">
        <f>VLOOKUP(E27,工作表3!$A$4:$AZ$12,30,FALSE)</f>
        <v>金額</v>
      </c>
      <c r="F28" s="127" t="str">
        <f>VLOOKUP(F27,工作表3!$A$4:$AZ$12,31,FALSE)</f>
        <v>金額</v>
      </c>
      <c r="G28" s="127" t="str">
        <f>VLOOKUP(G27,工作表3!$A$4:$AZ$12,32,FALSE)</f>
        <v>金額</v>
      </c>
      <c r="H28" s="127" t="str">
        <f>VLOOKUP(H27,工作表3!$A$4:$AZ$12,33,FALSE)</f>
        <v>金額</v>
      </c>
      <c r="I28" s="127" t="str">
        <f>VLOOKUP(I27,工作表3!$A$4:$AZ$12,34,FALSE)</f>
        <v>金額</v>
      </c>
      <c r="J28" s="127" t="str">
        <f>VLOOKUP(J27,工作表3!$A$4:$AZ$12,35,FALSE)</f>
        <v>金額</v>
      </c>
      <c r="K28" s="497"/>
      <c r="L28" s="494"/>
      <c r="M28" s="146"/>
      <c r="O28" s="470" t="s">
        <v>215</v>
      </c>
      <c r="P28" s="459">
        <f>SUM(K23:L34)</f>
        <v>0</v>
      </c>
      <c r="Q28" s="452"/>
      <c r="R28" s="136"/>
    </row>
    <row r="29" spans="1:41" ht="24.75" customHeight="1" x14ac:dyDescent="0.25">
      <c r="A29" s="501"/>
      <c r="B29" s="486"/>
      <c r="C29" s="161" t="s">
        <v>204</v>
      </c>
      <c r="D29" s="150"/>
      <c r="E29" s="150"/>
      <c r="F29" s="150"/>
      <c r="G29" s="150"/>
      <c r="H29" s="150"/>
      <c r="I29" s="150"/>
      <c r="J29" s="150"/>
      <c r="K29" s="493"/>
      <c r="L29" s="494"/>
      <c r="M29" s="146"/>
      <c r="O29" s="471"/>
      <c r="P29" s="452"/>
      <c r="Q29" s="452"/>
      <c r="R29" s="136"/>
    </row>
    <row r="30" spans="1:41" ht="24.75" customHeight="1" thickBot="1" x14ac:dyDescent="0.3">
      <c r="A30" s="501"/>
      <c r="B30" s="487"/>
      <c r="C30" s="160" t="s">
        <v>205</v>
      </c>
      <c r="D30" s="127">
        <f>IF(ISERROR(D28*D29),,D28*D29)</f>
        <v>0</v>
      </c>
      <c r="E30" s="127">
        <f t="shared" ref="E30:J30" si="2">IF(ISERROR(E28*E29),,E28*E29)</f>
        <v>0</v>
      </c>
      <c r="F30" s="127">
        <f t="shared" si="2"/>
        <v>0</v>
      </c>
      <c r="G30" s="127">
        <f t="shared" si="2"/>
        <v>0</v>
      </c>
      <c r="H30" s="127">
        <f t="shared" si="2"/>
        <v>0</v>
      </c>
      <c r="I30" s="127">
        <f t="shared" si="2"/>
        <v>0</v>
      </c>
      <c r="J30" s="127">
        <f t="shared" si="2"/>
        <v>0</v>
      </c>
      <c r="K30" s="495"/>
      <c r="L30" s="496"/>
      <c r="M30" s="146"/>
      <c r="O30" s="472"/>
      <c r="P30" s="460"/>
      <c r="Q30" s="460"/>
      <c r="R30" s="136"/>
    </row>
    <row r="31" spans="1:41" ht="24.75" customHeight="1" x14ac:dyDescent="0.25">
      <c r="A31" s="501"/>
      <c r="B31" s="484" t="s">
        <v>207</v>
      </c>
      <c r="C31" s="160" t="s">
        <v>202</v>
      </c>
      <c r="D31" s="164" t="s">
        <v>80</v>
      </c>
      <c r="E31" s="164" t="s">
        <v>80</v>
      </c>
      <c r="F31" s="164" t="s">
        <v>80</v>
      </c>
      <c r="G31" s="164" t="s">
        <v>80</v>
      </c>
      <c r="H31" s="164" t="s">
        <v>80</v>
      </c>
      <c r="I31" s="169" t="str">
        <f>G31</f>
        <v>版本</v>
      </c>
      <c r="J31" s="169" t="str">
        <f>H31</f>
        <v>版本</v>
      </c>
      <c r="K31" s="491">
        <f>SUM(D34:J34)</f>
        <v>0</v>
      </c>
      <c r="L31" s="492"/>
      <c r="M31" s="145"/>
      <c r="O31" s="473" t="s">
        <v>216</v>
      </c>
      <c r="P31" s="461">
        <f>SUM(P21:Q30)</f>
        <v>0</v>
      </c>
      <c r="Q31" s="462"/>
      <c r="R31" s="136"/>
    </row>
    <row r="32" spans="1:41" ht="24.75" customHeight="1" x14ac:dyDescent="0.25">
      <c r="A32" s="501"/>
      <c r="B32" s="485"/>
      <c r="C32" s="160" t="s">
        <v>203</v>
      </c>
      <c r="D32" s="127" t="str">
        <f>VLOOKUP(D31,工作表3!$A$4:$AZ$12,46,FALSE)</f>
        <v>金額</v>
      </c>
      <c r="E32" s="127" t="str">
        <f>VLOOKUP(E31,工作表3!$A$4:$AZ$12,47,FALSE)</f>
        <v>金額</v>
      </c>
      <c r="F32" s="127" t="str">
        <f>VLOOKUP(F31,工作表3!$A$4:$AZ$12,48,FALSE)</f>
        <v>金額</v>
      </c>
      <c r="G32" s="127" t="str">
        <f>VLOOKUP(G31,工作表3!$A$4:$AZ$12,49,FALSE)</f>
        <v>金額</v>
      </c>
      <c r="H32" s="127" t="str">
        <f>VLOOKUP(H31,工作表3!$A$4:$AZ$12,50,FALSE)</f>
        <v>金額</v>
      </c>
      <c r="I32" s="127" t="str">
        <f>VLOOKUP(I31,工作表3!$A$4:$AZ$12,51,FALSE)</f>
        <v>金額</v>
      </c>
      <c r="J32" s="127" t="str">
        <f>VLOOKUP(J31,工作表3!$A$4:$AZ$12,52,FALSE)</f>
        <v>金額</v>
      </c>
      <c r="K32" s="497"/>
      <c r="L32" s="494"/>
      <c r="M32" s="146"/>
      <c r="O32" s="474"/>
      <c r="P32" s="455"/>
      <c r="Q32" s="463"/>
      <c r="R32" s="136"/>
    </row>
    <row r="33" spans="1:31" ht="24.75" customHeight="1" x14ac:dyDescent="0.25">
      <c r="A33" s="501"/>
      <c r="B33" s="486"/>
      <c r="C33" s="161" t="s">
        <v>204</v>
      </c>
      <c r="D33" s="151"/>
      <c r="E33" s="151"/>
      <c r="F33" s="151"/>
      <c r="G33" s="152"/>
      <c r="H33" s="151"/>
      <c r="I33" s="151"/>
      <c r="J33" s="151"/>
      <c r="K33" s="493"/>
      <c r="L33" s="494"/>
      <c r="M33" s="146"/>
      <c r="O33" s="474"/>
      <c r="P33" s="455"/>
      <c r="Q33" s="463"/>
      <c r="R33" s="136"/>
    </row>
    <row r="34" spans="1:31" ht="24.75" customHeight="1" thickBot="1" x14ac:dyDescent="0.3">
      <c r="A34" s="502"/>
      <c r="B34" s="507"/>
      <c r="C34" s="162" t="s">
        <v>205</v>
      </c>
      <c r="D34" s="140">
        <f>IF(ISERROR(D32*D33),,D32*D33)</f>
        <v>0</v>
      </c>
      <c r="E34" s="140">
        <f t="shared" ref="E34:J34" si="3">IF(ISERROR(E32*E33),,E32*E33)</f>
        <v>0</v>
      </c>
      <c r="F34" s="140">
        <f t="shared" si="3"/>
        <v>0</v>
      </c>
      <c r="G34" s="140">
        <f t="shared" si="3"/>
        <v>0</v>
      </c>
      <c r="H34" s="140">
        <f t="shared" si="3"/>
        <v>0</v>
      </c>
      <c r="I34" s="140">
        <f t="shared" si="3"/>
        <v>0</v>
      </c>
      <c r="J34" s="140">
        <f t="shared" si="3"/>
        <v>0</v>
      </c>
      <c r="K34" s="498"/>
      <c r="L34" s="499"/>
      <c r="M34" s="146"/>
      <c r="O34" s="475"/>
      <c r="P34" s="464"/>
      <c r="Q34" s="465"/>
      <c r="R34" s="136"/>
    </row>
    <row r="35" spans="1:31" ht="6.75" customHeight="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136"/>
    </row>
    <row r="36" spans="1:31" ht="16.5" x14ac:dyDescent="0.25">
      <c r="A36" s="3" t="s">
        <v>196</v>
      </c>
      <c r="D36" s="3"/>
      <c r="E36" s="3"/>
      <c r="F36" s="3"/>
      <c r="G36" s="3"/>
      <c r="H36" s="3"/>
      <c r="I36" s="3"/>
      <c r="J36" s="3"/>
      <c r="K36" s="3" t="s">
        <v>245</v>
      </c>
      <c r="L36" s="3"/>
      <c r="N36" s="3"/>
      <c r="O36" s="3"/>
      <c r="P36" s="3"/>
      <c r="Q36" s="3"/>
      <c r="R36" s="3"/>
      <c r="S36" s="3"/>
      <c r="T36" s="3"/>
    </row>
    <row r="37" spans="1:31" ht="16.5" x14ac:dyDescent="0.25">
      <c r="A37" s="3" t="s">
        <v>197</v>
      </c>
      <c r="D37" s="3"/>
      <c r="E37" s="3"/>
      <c r="F37" s="3"/>
      <c r="G37" s="3"/>
      <c r="H37" s="3"/>
      <c r="I37" s="3"/>
      <c r="J37" s="3"/>
      <c r="K37" s="3" t="s">
        <v>104</v>
      </c>
      <c r="L37" s="3"/>
      <c r="N37" s="3"/>
      <c r="O37" s="3"/>
      <c r="P37" s="3"/>
      <c r="Q37" s="3"/>
      <c r="R37" s="3"/>
      <c r="S37" s="3"/>
      <c r="T37" s="3"/>
    </row>
    <row r="38" spans="1:31" ht="16.5" x14ac:dyDescent="0.25">
      <c r="D38" s="3"/>
      <c r="E38" s="3"/>
      <c r="F38" s="3"/>
      <c r="G38" s="3"/>
      <c r="H38" s="3"/>
      <c r="I38" s="3"/>
      <c r="J38" s="3"/>
      <c r="K38" s="3" t="s">
        <v>198</v>
      </c>
      <c r="L38" s="3"/>
      <c r="N38" s="3"/>
      <c r="O38" s="3"/>
      <c r="P38" s="3"/>
      <c r="Q38" s="3"/>
      <c r="R38" s="3"/>
      <c r="S38" s="3"/>
      <c r="T38" s="3"/>
    </row>
    <row r="39" spans="1:31" ht="22.5" customHeight="1" x14ac:dyDescent="0.25">
      <c r="A39" s="148" t="s">
        <v>199</v>
      </c>
      <c r="B39" s="148"/>
      <c r="C39" s="148"/>
      <c r="D39" s="148"/>
      <c r="E39" s="148"/>
      <c r="F39" s="148"/>
      <c r="G39" s="148" t="s">
        <v>106</v>
      </c>
      <c r="H39" s="148"/>
      <c r="I39" s="149"/>
      <c r="J39" s="148"/>
      <c r="K39" s="148"/>
      <c r="L39" s="149"/>
      <c r="M39" s="148" t="s">
        <v>200</v>
      </c>
      <c r="N39" s="148"/>
      <c r="O39" s="149"/>
      <c r="P39" s="148"/>
      <c r="R39" s="148" t="s">
        <v>243</v>
      </c>
      <c r="S39" s="149"/>
    </row>
    <row r="40" spans="1:31" ht="16.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5" spans="1:31" customFormat="1" ht="45.75" customHeight="1" thickBot="1" x14ac:dyDescent="0.3">
      <c r="A45" s="231" t="s">
        <v>233</v>
      </c>
      <c r="B45" s="232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4"/>
      <c r="U45" s="234"/>
    </row>
    <row r="46" spans="1:31" customFormat="1" ht="28.5" customHeight="1" thickBot="1" x14ac:dyDescent="0.3">
      <c r="A46" s="364" t="s">
        <v>138</v>
      </c>
      <c r="B46" s="365"/>
      <c r="C46" s="365"/>
      <c r="D46" s="365"/>
      <c r="E46" s="365"/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6"/>
      <c r="X46" s="339" t="s">
        <v>146</v>
      </c>
      <c r="Y46" s="362"/>
      <c r="Z46" s="362"/>
      <c r="AA46" s="362"/>
      <c r="AB46" s="362"/>
    </row>
    <row r="47" spans="1:31" customFormat="1" ht="21" customHeight="1" x14ac:dyDescent="0.25">
      <c r="A47" s="367" t="s">
        <v>133</v>
      </c>
      <c r="B47" s="368"/>
      <c r="C47" s="273" t="s">
        <v>84</v>
      </c>
      <c r="D47" s="261"/>
      <c r="E47" s="261" t="s">
        <v>85</v>
      </c>
      <c r="F47" s="261"/>
      <c r="G47" s="261" t="s">
        <v>87</v>
      </c>
      <c r="H47" s="261"/>
      <c r="I47" s="261" t="s">
        <v>86</v>
      </c>
      <c r="J47" s="261"/>
      <c r="K47" s="261" t="s">
        <v>88</v>
      </c>
      <c r="L47" s="262"/>
      <c r="M47" s="107" t="s">
        <v>89</v>
      </c>
      <c r="N47" s="108" t="s">
        <v>90</v>
      </c>
      <c r="O47" s="108" t="s">
        <v>91</v>
      </c>
      <c r="P47" s="261" t="s">
        <v>92</v>
      </c>
      <c r="Q47" s="261"/>
      <c r="R47" s="261"/>
      <c r="S47" s="263"/>
      <c r="T47" s="251" t="s">
        <v>144</v>
      </c>
      <c r="U47" s="253" t="s">
        <v>145</v>
      </c>
      <c r="W47" s="109"/>
      <c r="X47" s="111" t="s">
        <v>147</v>
      </c>
      <c r="Y47" s="112" t="s">
        <v>162</v>
      </c>
      <c r="Z47" s="113" t="s">
        <v>163</v>
      </c>
      <c r="AA47" s="114" t="s">
        <v>157</v>
      </c>
      <c r="AB47" s="118" t="s">
        <v>158</v>
      </c>
    </row>
    <row r="48" spans="1:31" customFormat="1" ht="21" customHeight="1" x14ac:dyDescent="0.25">
      <c r="A48" s="369"/>
      <c r="B48" s="289"/>
      <c r="C48" s="52" t="s">
        <v>93</v>
      </c>
      <c r="D48" s="44" t="s">
        <v>94</v>
      </c>
      <c r="E48" s="44" t="s">
        <v>93</v>
      </c>
      <c r="F48" s="44" t="s">
        <v>94</v>
      </c>
      <c r="G48" s="44" t="s">
        <v>93</v>
      </c>
      <c r="H48" s="44" t="s">
        <v>94</v>
      </c>
      <c r="I48" s="44" t="s">
        <v>93</v>
      </c>
      <c r="J48" s="44" t="s">
        <v>94</v>
      </c>
      <c r="K48" s="44" t="s">
        <v>93</v>
      </c>
      <c r="L48" s="219" t="s">
        <v>94</v>
      </c>
      <c r="M48" s="52" t="s">
        <v>93</v>
      </c>
      <c r="N48" s="44" t="s">
        <v>93</v>
      </c>
      <c r="O48" s="44" t="s">
        <v>93</v>
      </c>
      <c r="P48" s="44" t="s">
        <v>95</v>
      </c>
      <c r="Q48" s="44" t="s">
        <v>96</v>
      </c>
      <c r="R48" s="44" t="s">
        <v>97</v>
      </c>
      <c r="S48" s="53" t="s">
        <v>98</v>
      </c>
      <c r="T48" s="252"/>
      <c r="U48" s="254"/>
      <c r="W48" s="1"/>
      <c r="X48" s="109" t="s">
        <v>160</v>
      </c>
      <c r="Y48" s="109" t="s">
        <v>160</v>
      </c>
      <c r="Z48" s="109" t="s">
        <v>160</v>
      </c>
      <c r="AA48" s="109" t="s">
        <v>160</v>
      </c>
      <c r="AB48" s="109" t="s">
        <v>160</v>
      </c>
      <c r="AE48" s="109"/>
    </row>
    <row r="49" spans="1:40" customFormat="1" ht="21" customHeight="1" x14ac:dyDescent="0.25">
      <c r="A49" s="357" t="s">
        <v>143</v>
      </c>
      <c r="B49" s="94" t="s">
        <v>131</v>
      </c>
      <c r="C49" s="178" t="str">
        <f t="shared" ref="C49:L49" si="4">D13</f>
        <v>版本</v>
      </c>
      <c r="D49" s="179" t="str">
        <f t="shared" si="4"/>
        <v>版本</v>
      </c>
      <c r="E49" s="179" t="str">
        <f t="shared" si="4"/>
        <v>版本</v>
      </c>
      <c r="F49" s="179" t="str">
        <f t="shared" si="4"/>
        <v>版本</v>
      </c>
      <c r="G49" s="179" t="str">
        <f t="shared" si="4"/>
        <v>版本</v>
      </c>
      <c r="H49" s="179" t="str">
        <f t="shared" si="4"/>
        <v>版本</v>
      </c>
      <c r="I49" s="179" t="str">
        <f t="shared" si="4"/>
        <v>版本</v>
      </c>
      <c r="J49" s="179" t="str">
        <f t="shared" si="4"/>
        <v>版本</v>
      </c>
      <c r="K49" s="179" t="str">
        <f t="shared" si="4"/>
        <v>版本</v>
      </c>
      <c r="L49" s="220" t="str">
        <f t="shared" si="4"/>
        <v>版本</v>
      </c>
      <c r="M49" s="178" t="s">
        <v>80</v>
      </c>
      <c r="N49" s="179" t="str">
        <f t="shared" ref="N49:S49" si="5">E23</f>
        <v>版本</v>
      </c>
      <c r="O49" s="179" t="str">
        <f t="shared" si="5"/>
        <v>版本</v>
      </c>
      <c r="P49" s="179" t="str">
        <f t="shared" si="5"/>
        <v>版本</v>
      </c>
      <c r="Q49" s="179" t="str">
        <f t="shared" si="5"/>
        <v>版本</v>
      </c>
      <c r="R49" s="179" t="str">
        <f t="shared" si="5"/>
        <v>版本</v>
      </c>
      <c r="S49" s="180" t="str">
        <f t="shared" si="5"/>
        <v>版本</v>
      </c>
      <c r="T49" s="248">
        <f>SUM(C53:S53)</f>
        <v>0</v>
      </c>
      <c r="U49" s="439" t="e">
        <f>SUM(C54:S54)</f>
        <v>#VALUE!</v>
      </c>
      <c r="W49" s="345" t="s">
        <v>154</v>
      </c>
      <c r="X49" s="339">
        <f>SUMIF(C49:S49,"康軒",C54:S54)</f>
        <v>0</v>
      </c>
      <c r="Y49" s="339">
        <f>SUMIF(C49:S49,"翰林",C54:S54)+AD50</f>
        <v>0</v>
      </c>
      <c r="Z49" s="339">
        <f>SUMIF(C49:S49,"南一",C54:S54)</f>
        <v>0</v>
      </c>
      <c r="AA49" s="339">
        <f>SUMIF(C49:S49,"奇鼎",C54:S54)</f>
        <v>0</v>
      </c>
      <c r="AB49" s="339">
        <f>SUMIF(C49:S49,"全華",C54:S54)</f>
        <v>0</v>
      </c>
      <c r="AC49" s="115"/>
      <c r="AD49" s="109" t="s">
        <v>160</v>
      </c>
      <c r="AE49" s="115"/>
    </row>
    <row r="50" spans="1:40" customFormat="1" ht="21" customHeight="1" x14ac:dyDescent="0.25">
      <c r="A50" s="357"/>
      <c r="B50" s="94" t="s">
        <v>134</v>
      </c>
      <c r="C50" s="79" t="str">
        <f>VLOOKUP(C49,工作表3!$A$21:$AZ$28,2,FALSE)</f>
        <v>金額</v>
      </c>
      <c r="D50" s="80" t="str">
        <f>VLOOKUP(D49,工作表3!$A$21:$AZ$28,3,FALSE)</f>
        <v>金額</v>
      </c>
      <c r="E50" s="80" t="str">
        <f>VLOOKUP(E49,工作表3!$A$21:$AZ$28,4,FALSE)</f>
        <v>金額</v>
      </c>
      <c r="F50" s="80" t="str">
        <f>VLOOKUP(F49,工作表3!$A$21:$AZ$28,5,FALSE)</f>
        <v>金額</v>
      </c>
      <c r="G50" s="80" t="str">
        <f>VLOOKUP(G49,工作表3!$A$21:$AZ$28,6,FALSE)</f>
        <v>金額</v>
      </c>
      <c r="H50" s="80" t="str">
        <f>VLOOKUP(H49,工作表3!$A$21:$AZ$28,7,FALSE)</f>
        <v>金額</v>
      </c>
      <c r="I50" s="80" t="str">
        <f>VLOOKUP(I49,工作表3!$A$21:$AZ$28,8,FALSE)</f>
        <v>金額</v>
      </c>
      <c r="J50" s="80" t="str">
        <f>VLOOKUP(J49,工作表3!$A$21:$AZ$28,9,FALSE)</f>
        <v>金額</v>
      </c>
      <c r="K50" s="80" t="str">
        <f>VLOOKUP(K49,工作表3!$A$21:$AZ$28,10,FALSE)</f>
        <v>金額</v>
      </c>
      <c r="L50" s="221" t="str">
        <f>VLOOKUP(L49,工作表3!$A$21:$AZ$28,11,FALSE)</f>
        <v>金額</v>
      </c>
      <c r="M50" s="79" t="str">
        <f>VLOOKUP(M49,工作表3!$A$21:$AZ$28,12,FALSE)</f>
        <v>金額</v>
      </c>
      <c r="N50" s="80" t="str">
        <f>VLOOKUP(N49,工作表3!$A$21:$AZ$28,13,FALSE)</f>
        <v>金額</v>
      </c>
      <c r="O50" s="80" t="str">
        <f>VLOOKUP(O49,工作表3!$A$21:$AZ$28,14,FALSE)</f>
        <v>金額</v>
      </c>
      <c r="P50" s="80" t="str">
        <f>VLOOKUP(P49,工作表3!$A$21:$AZ$28,15,FALSE)</f>
        <v>金額</v>
      </c>
      <c r="Q50" s="80" t="str">
        <f>VLOOKUP(Q49,工作表3!$A$21:$AZ$28,16,FALSE)</f>
        <v>金額</v>
      </c>
      <c r="R50" s="80" t="str">
        <f>VLOOKUP(R49,工作表3!$A$21:$AZ$28,17,FALSE)</f>
        <v>金額</v>
      </c>
      <c r="S50" s="81" t="str">
        <f>VLOOKUP(S49,工作表3!$A$21:$AZ$28,18,FALSE)</f>
        <v>金額</v>
      </c>
      <c r="T50" s="248"/>
      <c r="U50" s="439"/>
      <c r="W50" s="345"/>
      <c r="X50" s="339"/>
      <c r="Y50" s="339"/>
      <c r="Z50" s="339"/>
      <c r="AA50" s="339"/>
      <c r="AB50" s="339"/>
      <c r="AC50" s="117" t="s">
        <v>159</v>
      </c>
      <c r="AD50" s="115">
        <f>SUMIF(C49:S49,"佳音",C54:S54)</f>
        <v>0</v>
      </c>
      <c r="AE50" s="109"/>
      <c r="AG50" s="136"/>
      <c r="AH50" s="136"/>
      <c r="AI50" s="136"/>
      <c r="AJ50" s="136"/>
      <c r="AK50" s="136"/>
      <c r="AL50" s="136"/>
      <c r="AM50" s="136"/>
      <c r="AN50" s="136"/>
    </row>
    <row r="51" spans="1:40" customFormat="1" ht="21" customHeight="1" x14ac:dyDescent="0.25">
      <c r="A51" s="357"/>
      <c r="B51" s="95" t="s">
        <v>135</v>
      </c>
      <c r="C51" s="175"/>
      <c r="D51" s="176"/>
      <c r="E51" s="176"/>
      <c r="F51" s="176"/>
      <c r="G51" s="176"/>
      <c r="H51" s="176"/>
      <c r="I51" s="176"/>
      <c r="J51" s="176"/>
      <c r="K51" s="176"/>
      <c r="L51" s="222"/>
      <c r="M51" s="175"/>
      <c r="N51" s="176"/>
      <c r="O51" s="176"/>
      <c r="P51" s="176"/>
      <c r="Q51" s="176"/>
      <c r="R51" s="176"/>
      <c r="S51" s="177"/>
      <c r="T51" s="248"/>
      <c r="U51" s="439"/>
      <c r="W51" s="345" t="s">
        <v>155</v>
      </c>
      <c r="X51" s="339">
        <f>SUMIF(C55:S55,"康軒",C60:S60)</f>
        <v>0</v>
      </c>
      <c r="Y51" s="339">
        <f>SUMIF(C55:S55,"翰林",C60:S60)+AD52</f>
        <v>0</v>
      </c>
      <c r="Z51" s="339">
        <f>SUMIF(C55:S55,"南一",C60:S60)</f>
        <v>0</v>
      </c>
      <c r="AA51" s="339">
        <f>SUMIF(C55:S55,"奇鼎",C60:S60)</f>
        <v>0</v>
      </c>
      <c r="AB51" s="339">
        <f>SUMIF(C55:S55,"全華",C60:S60)</f>
        <v>0</v>
      </c>
      <c r="AC51" s="109"/>
      <c r="AD51" s="109"/>
      <c r="AE51" s="115"/>
      <c r="AG51" s="136"/>
      <c r="AH51" s="136"/>
      <c r="AI51" s="136"/>
      <c r="AJ51" s="136"/>
      <c r="AK51" s="136"/>
      <c r="AL51" s="136"/>
      <c r="AM51" s="136"/>
      <c r="AN51" s="136"/>
    </row>
    <row r="52" spans="1:40" customFormat="1" ht="21" customHeight="1" x14ac:dyDescent="0.25">
      <c r="A52" s="357"/>
      <c r="B52" s="95" t="s">
        <v>234</v>
      </c>
      <c r="C52" s="175"/>
      <c r="D52" s="176"/>
      <c r="E52" s="176"/>
      <c r="F52" s="176"/>
      <c r="G52" s="176"/>
      <c r="H52" s="176"/>
      <c r="I52" s="176"/>
      <c r="J52" s="176"/>
      <c r="K52" s="176"/>
      <c r="L52" s="222"/>
      <c r="M52" s="175"/>
      <c r="N52" s="176"/>
      <c r="O52" s="176"/>
      <c r="P52" s="176"/>
      <c r="Q52" s="176"/>
      <c r="R52" s="176"/>
      <c r="S52" s="177"/>
      <c r="T52" s="248"/>
      <c r="U52" s="439"/>
      <c r="W52" s="345"/>
      <c r="X52" s="339"/>
      <c r="Y52" s="339"/>
      <c r="Z52" s="339"/>
      <c r="AA52" s="339"/>
      <c r="AB52" s="339"/>
      <c r="AC52" s="117" t="s">
        <v>159</v>
      </c>
      <c r="AD52" s="115">
        <f>SUMIF(C55:S55,"佳音",C60:S60)</f>
        <v>0</v>
      </c>
      <c r="AE52" s="115"/>
      <c r="AG52" s="136"/>
      <c r="AH52" s="136"/>
      <c r="AI52" s="136"/>
      <c r="AJ52" s="136"/>
      <c r="AK52" s="136"/>
      <c r="AL52" s="136"/>
      <c r="AM52" s="136"/>
      <c r="AN52" s="136"/>
    </row>
    <row r="53" spans="1:40" customFormat="1" ht="21" customHeight="1" x14ac:dyDescent="0.25">
      <c r="A53" s="357"/>
      <c r="B53" s="94" t="s">
        <v>136</v>
      </c>
      <c r="C53" s="79">
        <f>IF((C51-C52)&lt;0,0,(C51-C52))</f>
        <v>0</v>
      </c>
      <c r="D53" s="80">
        <f t="shared" ref="D53:S53" si="6">IF((D51-D52)&lt;0,0,(D51-D52))</f>
        <v>0</v>
      </c>
      <c r="E53" s="80">
        <f t="shared" si="6"/>
        <v>0</v>
      </c>
      <c r="F53" s="80">
        <f t="shared" si="6"/>
        <v>0</v>
      </c>
      <c r="G53" s="80">
        <f t="shared" si="6"/>
        <v>0</v>
      </c>
      <c r="H53" s="80">
        <f t="shared" si="6"/>
        <v>0</v>
      </c>
      <c r="I53" s="80">
        <f t="shared" si="6"/>
        <v>0</v>
      </c>
      <c r="J53" s="80">
        <f t="shared" si="6"/>
        <v>0</v>
      </c>
      <c r="K53" s="80">
        <f t="shared" si="6"/>
        <v>0</v>
      </c>
      <c r="L53" s="221">
        <f t="shared" si="6"/>
        <v>0</v>
      </c>
      <c r="M53" s="79">
        <f t="shared" si="6"/>
        <v>0</v>
      </c>
      <c r="N53" s="80">
        <f t="shared" si="6"/>
        <v>0</v>
      </c>
      <c r="O53" s="80">
        <f t="shared" si="6"/>
        <v>0</v>
      </c>
      <c r="P53" s="80">
        <f t="shared" si="6"/>
        <v>0</v>
      </c>
      <c r="Q53" s="80">
        <f t="shared" si="6"/>
        <v>0</v>
      </c>
      <c r="R53" s="80">
        <f t="shared" si="6"/>
        <v>0</v>
      </c>
      <c r="S53" s="81">
        <f t="shared" si="6"/>
        <v>0</v>
      </c>
      <c r="T53" s="248"/>
      <c r="U53" s="439"/>
      <c r="W53" s="345" t="s">
        <v>156</v>
      </c>
      <c r="X53" s="339">
        <f>SUMIF(C61:S61,"康軒",C66:S66)</f>
        <v>0</v>
      </c>
      <c r="Y53" s="339">
        <f>SUMIF(C61:S61,"翰林",C66:S66)+AD54</f>
        <v>0</v>
      </c>
      <c r="Z53" s="339">
        <f>SUMIF(C61:S61,"南一",C66:S66)</f>
        <v>0</v>
      </c>
      <c r="AA53" s="339">
        <f>SUMIF(C61:S61,"奇鼎",C66:S66)</f>
        <v>0</v>
      </c>
      <c r="AB53" s="339">
        <f>SUMIF(C61:S61,"全華",C66:S66)</f>
        <v>0</v>
      </c>
      <c r="AC53" s="109"/>
      <c r="AD53" s="109"/>
      <c r="AE53" s="115"/>
      <c r="AG53" s="136"/>
      <c r="AH53" s="136"/>
      <c r="AI53" s="136"/>
      <c r="AJ53" s="136"/>
      <c r="AK53" s="136"/>
      <c r="AL53" s="136"/>
      <c r="AM53" s="136"/>
      <c r="AN53" s="136"/>
    </row>
    <row r="54" spans="1:40" customFormat="1" ht="21" customHeight="1" x14ac:dyDescent="0.25">
      <c r="A54" s="357"/>
      <c r="B54" s="94" t="s">
        <v>137</v>
      </c>
      <c r="C54" s="79" t="e">
        <f>C50*C53</f>
        <v>#VALUE!</v>
      </c>
      <c r="D54" s="80" t="e">
        <f>D50*D53</f>
        <v>#VALUE!</v>
      </c>
      <c r="E54" s="80" t="e">
        <f t="shared" ref="E54:S54" si="7">E50*E53</f>
        <v>#VALUE!</v>
      </c>
      <c r="F54" s="80" t="e">
        <f t="shared" si="7"/>
        <v>#VALUE!</v>
      </c>
      <c r="G54" s="80" t="e">
        <f t="shared" si="7"/>
        <v>#VALUE!</v>
      </c>
      <c r="H54" s="80" t="e">
        <f t="shared" si="7"/>
        <v>#VALUE!</v>
      </c>
      <c r="I54" s="80" t="e">
        <f t="shared" si="7"/>
        <v>#VALUE!</v>
      </c>
      <c r="J54" s="80" t="e">
        <f t="shared" si="7"/>
        <v>#VALUE!</v>
      </c>
      <c r="K54" s="80" t="e">
        <f t="shared" si="7"/>
        <v>#VALUE!</v>
      </c>
      <c r="L54" s="221" t="e">
        <f>L50*L53</f>
        <v>#VALUE!</v>
      </c>
      <c r="M54" s="79" t="e">
        <f t="shared" si="7"/>
        <v>#VALUE!</v>
      </c>
      <c r="N54" s="80" t="e">
        <f t="shared" si="7"/>
        <v>#VALUE!</v>
      </c>
      <c r="O54" s="80" t="e">
        <f t="shared" si="7"/>
        <v>#VALUE!</v>
      </c>
      <c r="P54" s="80" t="e">
        <f t="shared" si="7"/>
        <v>#VALUE!</v>
      </c>
      <c r="Q54" s="80" t="e">
        <f t="shared" si="7"/>
        <v>#VALUE!</v>
      </c>
      <c r="R54" s="80" t="e">
        <f t="shared" si="7"/>
        <v>#VALUE!</v>
      </c>
      <c r="S54" s="81" t="e">
        <f t="shared" si="7"/>
        <v>#VALUE!</v>
      </c>
      <c r="T54" s="248"/>
      <c r="U54" s="439"/>
      <c r="W54" s="345"/>
      <c r="X54" s="339"/>
      <c r="Y54" s="339"/>
      <c r="Z54" s="339"/>
      <c r="AA54" s="339"/>
      <c r="AB54" s="339"/>
      <c r="AC54" s="117" t="s">
        <v>159</v>
      </c>
      <c r="AD54" s="115">
        <f>SUMIF(C61:S61,"佳音",C66:S66)</f>
        <v>0</v>
      </c>
      <c r="AG54" s="136"/>
      <c r="AH54" s="136"/>
      <c r="AI54" s="136"/>
      <c r="AJ54" s="136"/>
      <c r="AK54" s="136"/>
      <c r="AL54" s="136"/>
      <c r="AM54" s="136"/>
      <c r="AN54" s="136"/>
    </row>
    <row r="55" spans="1:40" customFormat="1" ht="21" customHeight="1" x14ac:dyDescent="0.25">
      <c r="A55" s="363" t="s">
        <v>141</v>
      </c>
      <c r="B55" s="94" t="s">
        <v>131</v>
      </c>
      <c r="C55" s="178" t="str">
        <f t="shared" ref="C55:L55" si="8">D15</f>
        <v>版本</v>
      </c>
      <c r="D55" s="179" t="str">
        <f t="shared" si="8"/>
        <v>版本</v>
      </c>
      <c r="E55" s="179" t="str">
        <f t="shared" si="8"/>
        <v>版本</v>
      </c>
      <c r="F55" s="179" t="str">
        <f t="shared" si="8"/>
        <v>版本</v>
      </c>
      <c r="G55" s="179" t="str">
        <f t="shared" si="8"/>
        <v>版本</v>
      </c>
      <c r="H55" s="179" t="str">
        <f t="shared" si="8"/>
        <v>版本</v>
      </c>
      <c r="I55" s="179" t="str">
        <f t="shared" si="8"/>
        <v>版本</v>
      </c>
      <c r="J55" s="179" t="str">
        <f t="shared" si="8"/>
        <v>版本</v>
      </c>
      <c r="K55" s="179" t="str">
        <f t="shared" si="8"/>
        <v>版本</v>
      </c>
      <c r="L55" s="220" t="str">
        <f t="shared" si="8"/>
        <v>版本</v>
      </c>
      <c r="M55" s="178" t="str">
        <f t="shared" ref="M55:S55" si="9">D27</f>
        <v>版本</v>
      </c>
      <c r="N55" s="179" t="str">
        <f t="shared" si="9"/>
        <v>版本</v>
      </c>
      <c r="O55" s="179" t="str">
        <f t="shared" si="9"/>
        <v>版本</v>
      </c>
      <c r="P55" s="179" t="str">
        <f t="shared" si="9"/>
        <v>版本</v>
      </c>
      <c r="Q55" s="179" t="str">
        <f t="shared" si="9"/>
        <v>版本</v>
      </c>
      <c r="R55" s="179" t="str">
        <f t="shared" si="9"/>
        <v>版本</v>
      </c>
      <c r="S55" s="180" t="str">
        <f t="shared" si="9"/>
        <v>版本</v>
      </c>
      <c r="T55" s="248">
        <f>SUM(C59:S59)</f>
        <v>0</v>
      </c>
      <c r="U55" s="439" t="e">
        <f>SUM(C60:S60)</f>
        <v>#VALUE!</v>
      </c>
      <c r="W55" s="371" t="s">
        <v>152</v>
      </c>
      <c r="X55" s="372">
        <f>SUM(X49:X54)</f>
        <v>0</v>
      </c>
      <c r="Y55" s="372">
        <f>SUM(Y49:Y54)</f>
        <v>0</v>
      </c>
      <c r="Z55" s="372">
        <f>SUM(Z49:Z54)</f>
        <v>0</v>
      </c>
      <c r="AA55" s="372">
        <f>SUM(AA49:AA54)</f>
        <v>0</v>
      </c>
      <c r="AB55" s="372">
        <f>SUM(AB49:AB54)</f>
        <v>0</v>
      </c>
      <c r="AG55" s="136"/>
      <c r="AH55" s="136"/>
      <c r="AI55" s="136"/>
      <c r="AJ55" s="136"/>
      <c r="AK55" s="136"/>
      <c r="AL55" s="136"/>
      <c r="AM55" s="136"/>
      <c r="AN55" s="136"/>
    </row>
    <row r="56" spans="1:40" customFormat="1" ht="21" customHeight="1" x14ac:dyDescent="0.25">
      <c r="A56" s="363"/>
      <c r="B56" s="94" t="s">
        <v>134</v>
      </c>
      <c r="C56" s="79" t="str">
        <f>VLOOKUP(C55,工作表3!$A$21:$AZ$28,19,FALSE)</f>
        <v>金額</v>
      </c>
      <c r="D56" s="80" t="str">
        <f>VLOOKUP(D55,工作表3!$A$21:$AZ$28,20,FALSE)</f>
        <v>金額</v>
      </c>
      <c r="E56" s="80" t="str">
        <f>VLOOKUP(E55,工作表3!$A$21:$AZ$28,21,FALSE)</f>
        <v>金額</v>
      </c>
      <c r="F56" s="80" t="str">
        <f>VLOOKUP(F55,工作表3!$A$21:$AZ$28,22,FALSE)</f>
        <v>金額</v>
      </c>
      <c r="G56" s="80" t="str">
        <f>VLOOKUP(G55,工作表3!$A$21:$AZ$28,23,FALSE)</f>
        <v>金額</v>
      </c>
      <c r="H56" s="80" t="str">
        <f>VLOOKUP(H55,工作表3!$A$21:$AZ$28,24,FALSE)</f>
        <v>金額</v>
      </c>
      <c r="I56" s="80" t="str">
        <f>VLOOKUP(I55,工作表3!$A$21:$AZ$28,25,FALSE)</f>
        <v>金額</v>
      </c>
      <c r="J56" s="80" t="str">
        <f>VLOOKUP(J55,工作表3!$A$21:$AZ$28,26,FALSE)</f>
        <v>金額</v>
      </c>
      <c r="K56" s="80" t="str">
        <f>VLOOKUP(K55,工作表3!$A$21:$AZ$28,27,FALSE)</f>
        <v>金額</v>
      </c>
      <c r="L56" s="221" t="str">
        <f>VLOOKUP(L55,工作表3!$A$21:$AZ$28,28,FALSE)</f>
        <v>金額</v>
      </c>
      <c r="M56" s="79" t="str">
        <f>VLOOKUP(M55,工作表3!$A$21:$AZ$28,29,FALSE)</f>
        <v>金額</v>
      </c>
      <c r="N56" s="80" t="str">
        <f>VLOOKUP(N55,工作表3!$A$21:$AZ$28,30,FALSE)</f>
        <v>金額</v>
      </c>
      <c r="O56" s="80" t="str">
        <f>VLOOKUP(O55,工作表3!$A$21:$AZ$28,31,FALSE)</f>
        <v>金額</v>
      </c>
      <c r="P56" s="80" t="str">
        <f>VLOOKUP(P55,工作表3!$A$21:$AZ$28,32,FALSE)</f>
        <v>金額</v>
      </c>
      <c r="Q56" s="80" t="str">
        <f>VLOOKUP(Q55,工作表3!$A$21:$AZ$28,33,FALSE)</f>
        <v>金額</v>
      </c>
      <c r="R56" s="80" t="str">
        <f>VLOOKUP(R55,工作表3!$A$21:$AZ$28,34,FALSE)</f>
        <v>金額</v>
      </c>
      <c r="S56" s="81" t="str">
        <f>VLOOKUP(S55,工作表3!$A$21:$AZ$28,35,FALSE)</f>
        <v>金額</v>
      </c>
      <c r="T56" s="248"/>
      <c r="U56" s="439"/>
      <c r="W56" s="371"/>
      <c r="X56" s="372"/>
      <c r="Y56" s="372"/>
      <c r="Z56" s="372"/>
      <c r="AA56" s="372"/>
      <c r="AB56" s="372"/>
      <c r="AG56" s="136"/>
      <c r="AH56" s="136"/>
      <c r="AI56" s="136"/>
      <c r="AJ56" s="136"/>
      <c r="AK56" s="136"/>
      <c r="AL56" s="136"/>
      <c r="AM56" s="136"/>
      <c r="AN56" s="136"/>
    </row>
    <row r="57" spans="1:40" customFormat="1" ht="21" customHeight="1" x14ac:dyDescent="0.25">
      <c r="A57" s="363"/>
      <c r="B57" s="95" t="s">
        <v>135</v>
      </c>
      <c r="C57" s="175"/>
      <c r="D57" s="176"/>
      <c r="E57" s="176"/>
      <c r="F57" s="176"/>
      <c r="G57" s="176"/>
      <c r="H57" s="176"/>
      <c r="I57" s="176"/>
      <c r="J57" s="176"/>
      <c r="K57" s="176"/>
      <c r="L57" s="222"/>
      <c r="M57" s="175"/>
      <c r="N57" s="176"/>
      <c r="O57" s="176"/>
      <c r="P57" s="176"/>
      <c r="Q57" s="176"/>
      <c r="R57" s="176"/>
      <c r="S57" s="177"/>
      <c r="T57" s="248"/>
      <c r="U57" s="439"/>
      <c r="AG57" s="136"/>
      <c r="AH57" s="136"/>
      <c r="AI57" s="136"/>
      <c r="AJ57" s="136"/>
      <c r="AK57" s="136"/>
      <c r="AL57" s="136"/>
      <c r="AM57" s="136"/>
      <c r="AN57" s="136"/>
    </row>
    <row r="58" spans="1:40" customFormat="1" ht="21" customHeight="1" x14ac:dyDescent="0.25">
      <c r="A58" s="363"/>
      <c r="B58" s="95" t="s">
        <v>234</v>
      </c>
      <c r="C58" s="175"/>
      <c r="D58" s="176"/>
      <c r="E58" s="176"/>
      <c r="F58" s="176"/>
      <c r="G58" s="176"/>
      <c r="H58" s="176"/>
      <c r="I58" s="176"/>
      <c r="J58" s="176"/>
      <c r="K58" s="176"/>
      <c r="L58" s="222"/>
      <c r="M58" s="175"/>
      <c r="N58" s="176"/>
      <c r="O58" s="176"/>
      <c r="P58" s="176"/>
      <c r="Q58" s="176"/>
      <c r="R58" s="176"/>
      <c r="S58" s="177"/>
      <c r="T58" s="248"/>
      <c r="U58" s="439"/>
      <c r="AG58" s="136"/>
      <c r="AH58" s="136"/>
      <c r="AI58" s="136"/>
      <c r="AJ58" s="136"/>
      <c r="AK58" s="136"/>
      <c r="AL58" s="136"/>
      <c r="AM58" s="136"/>
      <c r="AN58" s="136"/>
    </row>
    <row r="59" spans="1:40" customFormat="1" ht="21" customHeight="1" x14ac:dyDescent="0.25">
      <c r="A59" s="363"/>
      <c r="B59" s="94" t="s">
        <v>136</v>
      </c>
      <c r="C59" s="79">
        <f>IF((C57-C58)&lt;0,0,(C57-C58))</f>
        <v>0</v>
      </c>
      <c r="D59" s="80">
        <f t="shared" ref="D59:S59" si="10">IF((D57-D58)&lt;0,0,(D57-D58))</f>
        <v>0</v>
      </c>
      <c r="E59" s="80">
        <f t="shared" si="10"/>
        <v>0</v>
      </c>
      <c r="F59" s="80">
        <f t="shared" si="10"/>
        <v>0</v>
      </c>
      <c r="G59" s="80">
        <f t="shared" si="10"/>
        <v>0</v>
      </c>
      <c r="H59" s="80">
        <f t="shared" si="10"/>
        <v>0</v>
      </c>
      <c r="I59" s="80">
        <f>IF((I57-I58)&lt;0,0,(I57-I58))</f>
        <v>0</v>
      </c>
      <c r="J59" s="80">
        <f t="shared" si="10"/>
        <v>0</v>
      </c>
      <c r="K59" s="80">
        <f t="shared" si="10"/>
        <v>0</v>
      </c>
      <c r="L59" s="221">
        <f t="shared" si="10"/>
        <v>0</v>
      </c>
      <c r="M59" s="79">
        <f t="shared" si="10"/>
        <v>0</v>
      </c>
      <c r="N59" s="80">
        <f t="shared" si="10"/>
        <v>0</v>
      </c>
      <c r="O59" s="80">
        <f t="shared" si="10"/>
        <v>0</v>
      </c>
      <c r="P59" s="80">
        <f t="shared" si="10"/>
        <v>0</v>
      </c>
      <c r="Q59" s="80">
        <f t="shared" si="10"/>
        <v>0</v>
      </c>
      <c r="R59" s="80">
        <f t="shared" si="10"/>
        <v>0</v>
      </c>
      <c r="S59" s="81">
        <f t="shared" si="10"/>
        <v>0</v>
      </c>
      <c r="T59" s="248"/>
      <c r="U59" s="439"/>
      <c r="AG59" s="136"/>
      <c r="AH59" s="136"/>
      <c r="AI59" s="136"/>
      <c r="AJ59" s="136"/>
      <c r="AK59" s="136"/>
      <c r="AL59" s="136"/>
      <c r="AM59" s="136"/>
      <c r="AN59" s="136"/>
    </row>
    <row r="60" spans="1:40" customFormat="1" ht="21" customHeight="1" x14ac:dyDescent="0.25">
      <c r="A60" s="363"/>
      <c r="B60" s="94" t="s">
        <v>137</v>
      </c>
      <c r="C60" s="79" t="e">
        <f>C56*C59</f>
        <v>#VALUE!</v>
      </c>
      <c r="D60" s="80" t="e">
        <f>D56*D59</f>
        <v>#VALUE!</v>
      </c>
      <c r="E60" s="80" t="e">
        <f t="shared" ref="E60:S60" si="11">E56*E59</f>
        <v>#VALUE!</v>
      </c>
      <c r="F60" s="80" t="e">
        <f t="shared" si="11"/>
        <v>#VALUE!</v>
      </c>
      <c r="G60" s="80" t="e">
        <f t="shared" si="11"/>
        <v>#VALUE!</v>
      </c>
      <c r="H60" s="80" t="e">
        <f t="shared" si="11"/>
        <v>#VALUE!</v>
      </c>
      <c r="I60" s="80" t="e">
        <f t="shared" si="11"/>
        <v>#VALUE!</v>
      </c>
      <c r="J60" s="80" t="e">
        <f t="shared" si="11"/>
        <v>#VALUE!</v>
      </c>
      <c r="K60" s="80" t="e">
        <f t="shared" si="11"/>
        <v>#VALUE!</v>
      </c>
      <c r="L60" s="221" t="e">
        <f t="shared" si="11"/>
        <v>#VALUE!</v>
      </c>
      <c r="M60" s="79" t="e">
        <f t="shared" si="11"/>
        <v>#VALUE!</v>
      </c>
      <c r="N60" s="80" t="e">
        <f t="shared" si="11"/>
        <v>#VALUE!</v>
      </c>
      <c r="O60" s="80" t="e">
        <f t="shared" si="11"/>
        <v>#VALUE!</v>
      </c>
      <c r="P60" s="80" t="e">
        <f t="shared" si="11"/>
        <v>#VALUE!</v>
      </c>
      <c r="Q60" s="80" t="e">
        <f t="shared" si="11"/>
        <v>#VALUE!</v>
      </c>
      <c r="R60" s="80" t="e">
        <f t="shared" si="11"/>
        <v>#VALUE!</v>
      </c>
      <c r="S60" s="81" t="e">
        <f t="shared" si="11"/>
        <v>#VALUE!</v>
      </c>
      <c r="T60" s="248"/>
      <c r="U60" s="439"/>
      <c r="AG60" s="136"/>
      <c r="AH60" s="136"/>
      <c r="AI60" s="136"/>
      <c r="AJ60" s="136"/>
      <c r="AK60" s="136"/>
      <c r="AL60" s="136"/>
      <c r="AM60" s="136"/>
      <c r="AN60" s="136"/>
    </row>
    <row r="61" spans="1:40" customFormat="1" ht="21" customHeight="1" x14ac:dyDescent="0.25">
      <c r="A61" s="260" t="s">
        <v>142</v>
      </c>
      <c r="B61" s="94" t="s">
        <v>131</v>
      </c>
      <c r="C61" s="178" t="str">
        <f t="shared" ref="C61:L61" si="12">D17</f>
        <v>版本</v>
      </c>
      <c r="D61" s="179" t="str">
        <f t="shared" si="12"/>
        <v>版本</v>
      </c>
      <c r="E61" s="179" t="str">
        <f t="shared" si="12"/>
        <v>版本</v>
      </c>
      <c r="F61" s="179" t="str">
        <f t="shared" si="12"/>
        <v>版本</v>
      </c>
      <c r="G61" s="179" t="str">
        <f t="shared" si="12"/>
        <v>版本</v>
      </c>
      <c r="H61" s="179" t="str">
        <f t="shared" si="12"/>
        <v>版本</v>
      </c>
      <c r="I61" s="179" t="str">
        <f t="shared" si="12"/>
        <v>版本</v>
      </c>
      <c r="J61" s="179" t="str">
        <f t="shared" si="12"/>
        <v>版本</v>
      </c>
      <c r="K61" s="179" t="str">
        <f t="shared" si="12"/>
        <v>版本</v>
      </c>
      <c r="L61" s="220" t="str">
        <f t="shared" si="12"/>
        <v>版本</v>
      </c>
      <c r="M61" s="178" t="str">
        <f t="shared" ref="M61:S61" si="13">D31</f>
        <v>版本</v>
      </c>
      <c r="N61" s="179" t="str">
        <f t="shared" si="13"/>
        <v>版本</v>
      </c>
      <c r="O61" s="179" t="str">
        <f t="shared" si="13"/>
        <v>版本</v>
      </c>
      <c r="P61" s="179" t="str">
        <f t="shared" si="13"/>
        <v>版本</v>
      </c>
      <c r="Q61" s="179" t="str">
        <f t="shared" si="13"/>
        <v>版本</v>
      </c>
      <c r="R61" s="179" t="str">
        <f t="shared" si="13"/>
        <v>版本</v>
      </c>
      <c r="S61" s="180" t="str">
        <f t="shared" si="13"/>
        <v>版本</v>
      </c>
      <c r="T61" s="440">
        <f>SUM(C65:S65)</f>
        <v>0</v>
      </c>
      <c r="U61" s="438" t="e">
        <f>SUM(C66:S66)</f>
        <v>#VALUE!</v>
      </c>
    </row>
    <row r="62" spans="1:40" customFormat="1" ht="21" customHeight="1" x14ac:dyDescent="0.25">
      <c r="A62" s="260"/>
      <c r="B62" s="94" t="s">
        <v>134</v>
      </c>
      <c r="C62" s="79" t="str">
        <f>VLOOKUP(C61,工作表3!$A$21:$AZ$28,36,FALSE)</f>
        <v>金額</v>
      </c>
      <c r="D62" s="80" t="str">
        <f>VLOOKUP(D61,工作表3!$A$21:$AZ$28,37,FALSE)</f>
        <v>金額</v>
      </c>
      <c r="E62" s="80" t="str">
        <f>VLOOKUP(E61,工作表3!$A$21:$AZ$28,38,FALSE)</f>
        <v>金額</v>
      </c>
      <c r="F62" s="80" t="str">
        <f>VLOOKUP(F61,工作表3!$A$21:$AZ$28,39,FALSE)</f>
        <v>金額</v>
      </c>
      <c r="G62" s="80" t="str">
        <f>VLOOKUP(G61,工作表3!$A$21:$AZ$28,40,FALSE)</f>
        <v>金額</v>
      </c>
      <c r="H62" s="80" t="str">
        <f>VLOOKUP(H61,工作表3!$A$21:$AZ$28,41,FALSE)</f>
        <v>金額</v>
      </c>
      <c r="I62" s="80" t="str">
        <f>VLOOKUP(I61,工作表3!$A$21:$AZ$28,42,FALSE)</f>
        <v>金額</v>
      </c>
      <c r="J62" s="80" t="str">
        <f>VLOOKUP(J61,工作表3!$A$21:$AZ$28,43,FALSE)</f>
        <v>金額</v>
      </c>
      <c r="K62" s="80" t="str">
        <f>VLOOKUP(K61,工作表3!$A$21:$AZ$28,44,FALSE)</f>
        <v>金額</v>
      </c>
      <c r="L62" s="221" t="str">
        <f>VLOOKUP(L61,工作表3!$A$21:$AZ$28,45,FALSE)</f>
        <v>金額</v>
      </c>
      <c r="M62" s="79" t="str">
        <f>VLOOKUP(M61,工作表3!$A$21:$AZ$28,46,FALSE)</f>
        <v>金額</v>
      </c>
      <c r="N62" s="80" t="str">
        <f>VLOOKUP(N61,工作表3!$A$21:$AZ$28,47,FALSE)</f>
        <v>金額</v>
      </c>
      <c r="O62" s="80" t="str">
        <f>VLOOKUP(O61,工作表3!$A$21:$AZ$28,48,FALSE)</f>
        <v>金額</v>
      </c>
      <c r="P62" s="80" t="str">
        <f>VLOOKUP(P61,工作表3!$A$21:$AZ$28,49,FALSE)</f>
        <v>金額</v>
      </c>
      <c r="Q62" s="80" t="str">
        <f>VLOOKUP(Q61,工作表3!$A$21:$AZ$28,50,FALSE)</f>
        <v>金額</v>
      </c>
      <c r="R62" s="80" t="str">
        <f>VLOOKUP(R61,工作表3!$A$21:$AZ$28,51,FALSE)</f>
        <v>金額</v>
      </c>
      <c r="S62" s="81" t="str">
        <f>VLOOKUP(S61,工作表3!$A$21:$AZ$28,52,FALSE)</f>
        <v>金額</v>
      </c>
      <c r="T62" s="440"/>
      <c r="U62" s="438"/>
    </row>
    <row r="63" spans="1:40" customFormat="1" ht="21" customHeight="1" x14ac:dyDescent="0.25">
      <c r="A63" s="260"/>
      <c r="B63" s="95" t="s">
        <v>135</v>
      </c>
      <c r="C63" s="175"/>
      <c r="D63" s="176"/>
      <c r="E63" s="176"/>
      <c r="F63" s="176"/>
      <c r="G63" s="176"/>
      <c r="H63" s="176"/>
      <c r="I63" s="176"/>
      <c r="J63" s="176"/>
      <c r="K63" s="176"/>
      <c r="L63" s="222"/>
      <c r="M63" s="175"/>
      <c r="N63" s="176"/>
      <c r="O63" s="176"/>
      <c r="P63" s="176"/>
      <c r="Q63" s="176"/>
      <c r="R63" s="176"/>
      <c r="S63" s="177"/>
      <c r="T63" s="440"/>
      <c r="U63" s="438"/>
    </row>
    <row r="64" spans="1:40" customFormat="1" ht="21" customHeight="1" x14ac:dyDescent="0.25">
      <c r="A64" s="260"/>
      <c r="B64" s="95" t="s">
        <v>234</v>
      </c>
      <c r="C64" s="175"/>
      <c r="D64" s="176"/>
      <c r="E64" s="176"/>
      <c r="F64" s="176"/>
      <c r="G64" s="176"/>
      <c r="H64" s="176"/>
      <c r="I64" s="176"/>
      <c r="J64" s="176"/>
      <c r="K64" s="176"/>
      <c r="L64" s="222"/>
      <c r="M64" s="175"/>
      <c r="N64" s="176"/>
      <c r="O64" s="176"/>
      <c r="P64" s="176"/>
      <c r="Q64" s="176"/>
      <c r="R64" s="176"/>
      <c r="S64" s="177"/>
      <c r="T64" s="440"/>
      <c r="U64" s="438"/>
    </row>
    <row r="65" spans="1:42" customFormat="1" ht="21" customHeight="1" x14ac:dyDescent="0.25">
      <c r="A65" s="260"/>
      <c r="B65" s="94" t="s">
        <v>136</v>
      </c>
      <c r="C65" s="79">
        <f>IF((C63-C64)&lt;0,0,(C63-C64))</f>
        <v>0</v>
      </c>
      <c r="D65" s="80">
        <f t="shared" ref="D65:S65" si="14">IF((D63-D64)&lt;0,0,(D63-D64))</f>
        <v>0</v>
      </c>
      <c r="E65" s="80">
        <f t="shared" si="14"/>
        <v>0</v>
      </c>
      <c r="F65" s="80">
        <f t="shared" si="14"/>
        <v>0</v>
      </c>
      <c r="G65" s="80">
        <f t="shared" si="14"/>
        <v>0</v>
      </c>
      <c r="H65" s="80">
        <f t="shared" si="14"/>
        <v>0</v>
      </c>
      <c r="I65" s="80">
        <f t="shared" si="14"/>
        <v>0</v>
      </c>
      <c r="J65" s="80">
        <f t="shared" si="14"/>
        <v>0</v>
      </c>
      <c r="K65" s="80">
        <f t="shared" si="14"/>
        <v>0</v>
      </c>
      <c r="L65" s="221">
        <f t="shared" si="14"/>
        <v>0</v>
      </c>
      <c r="M65" s="79">
        <f t="shared" si="14"/>
        <v>0</v>
      </c>
      <c r="N65" s="80">
        <f t="shared" si="14"/>
        <v>0</v>
      </c>
      <c r="O65" s="80">
        <f t="shared" si="14"/>
        <v>0</v>
      </c>
      <c r="P65" s="80">
        <f t="shared" si="14"/>
        <v>0</v>
      </c>
      <c r="Q65" s="80">
        <f t="shared" si="14"/>
        <v>0</v>
      </c>
      <c r="R65" s="80">
        <f t="shared" si="14"/>
        <v>0</v>
      </c>
      <c r="S65" s="81">
        <f t="shared" si="14"/>
        <v>0</v>
      </c>
      <c r="T65" s="440"/>
      <c r="U65" s="438"/>
    </row>
    <row r="66" spans="1:42" customFormat="1" ht="21" customHeight="1" thickBot="1" x14ac:dyDescent="0.3">
      <c r="A66" s="260"/>
      <c r="B66" s="97" t="s">
        <v>137</v>
      </c>
      <c r="C66" s="84" t="e">
        <f>C62*C65</f>
        <v>#VALUE!</v>
      </c>
      <c r="D66" s="85" t="e">
        <f>D62*D65</f>
        <v>#VALUE!</v>
      </c>
      <c r="E66" s="85" t="e">
        <f t="shared" ref="E66:S66" si="15">E62*E65</f>
        <v>#VALUE!</v>
      </c>
      <c r="F66" s="85" t="e">
        <f t="shared" si="15"/>
        <v>#VALUE!</v>
      </c>
      <c r="G66" s="85" t="e">
        <f t="shared" si="15"/>
        <v>#VALUE!</v>
      </c>
      <c r="H66" s="85" t="e">
        <f t="shared" si="15"/>
        <v>#VALUE!</v>
      </c>
      <c r="I66" s="85" t="e">
        <f t="shared" si="15"/>
        <v>#VALUE!</v>
      </c>
      <c r="J66" s="85" t="e">
        <f t="shared" si="15"/>
        <v>#VALUE!</v>
      </c>
      <c r="K66" s="85" t="e">
        <f t="shared" si="15"/>
        <v>#VALUE!</v>
      </c>
      <c r="L66" s="87" t="e">
        <f t="shared" si="15"/>
        <v>#VALUE!</v>
      </c>
      <c r="M66" s="84" t="e">
        <f t="shared" si="15"/>
        <v>#VALUE!</v>
      </c>
      <c r="N66" s="85" t="e">
        <f t="shared" si="15"/>
        <v>#VALUE!</v>
      </c>
      <c r="O66" s="85" t="e">
        <f t="shared" si="15"/>
        <v>#VALUE!</v>
      </c>
      <c r="P66" s="85" t="e">
        <f t="shared" si="15"/>
        <v>#VALUE!</v>
      </c>
      <c r="Q66" s="85" t="e">
        <f t="shared" si="15"/>
        <v>#VALUE!</v>
      </c>
      <c r="R66" s="85" t="e">
        <f t="shared" si="15"/>
        <v>#VALUE!</v>
      </c>
      <c r="S66" s="86" t="e">
        <f t="shared" si="15"/>
        <v>#VALUE!</v>
      </c>
      <c r="T66" s="440"/>
      <c r="U66" s="438"/>
    </row>
    <row r="67" spans="1:42" customFormat="1" ht="28.5" customHeight="1" thickBot="1" x14ac:dyDescent="0.3">
      <c r="A67" s="353" t="s">
        <v>235</v>
      </c>
      <c r="B67" s="354"/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  <c r="P67" s="355"/>
      <c r="Q67" s="355"/>
      <c r="R67" s="355"/>
      <c r="S67" s="356"/>
      <c r="T67" s="209" t="s">
        <v>11</v>
      </c>
      <c r="U67" s="210" t="e">
        <f>SUM(U49:U66)</f>
        <v>#VALUE!</v>
      </c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</row>
    <row r="70" spans="1:42" ht="20.25" thickBot="1" x14ac:dyDescent="0.3">
      <c r="A70" s="441" t="s">
        <v>225</v>
      </c>
      <c r="B70" s="442"/>
      <c r="C70" s="442"/>
      <c r="D70" s="442"/>
      <c r="E70" s="442"/>
      <c r="F70" s="442"/>
      <c r="G70" s="442"/>
      <c r="H70" s="442"/>
      <c r="I70" s="442"/>
      <c r="J70" s="442"/>
      <c r="K70" s="442"/>
      <c r="L70" s="442"/>
      <c r="M70" s="442"/>
      <c r="N70" s="442"/>
      <c r="O70" s="442"/>
      <c r="P70" s="442"/>
      <c r="Q70" s="442"/>
      <c r="R70" s="182"/>
      <c r="S70" s="182"/>
      <c r="T70" s="182"/>
      <c r="U70" s="182"/>
      <c r="W70"/>
      <c r="X70" s="339" t="s">
        <v>146</v>
      </c>
      <c r="Y70" s="339"/>
      <c r="Z70" s="362"/>
      <c r="AA70" s="362"/>
      <c r="AB70" s="362"/>
      <c r="AC70" s="362"/>
      <c r="AD70" s="362"/>
      <c r="AE70" s="362"/>
      <c r="AF70" s="362"/>
      <c r="AG70" s="362"/>
      <c r="AH70" s="362"/>
      <c r="AI70" s="362"/>
      <c r="AJ70"/>
      <c r="AK70"/>
      <c r="AL70"/>
      <c r="AM70"/>
      <c r="AN70"/>
      <c r="AO70"/>
    </row>
    <row r="71" spans="1:42" ht="24.75" customHeight="1" x14ac:dyDescent="0.25">
      <c r="A71" s="419" t="s">
        <v>110</v>
      </c>
      <c r="B71" s="422" t="s">
        <v>208</v>
      </c>
      <c r="C71" s="423"/>
      <c r="D71" s="426" t="s">
        <v>84</v>
      </c>
      <c r="E71" s="426"/>
      <c r="F71" s="426" t="s">
        <v>85</v>
      </c>
      <c r="G71" s="426"/>
      <c r="H71" s="426" t="s">
        <v>87</v>
      </c>
      <c r="I71" s="426"/>
      <c r="J71" s="426" t="s">
        <v>86</v>
      </c>
      <c r="K71" s="426"/>
      <c r="L71" s="426" t="s">
        <v>88</v>
      </c>
      <c r="M71" s="427"/>
      <c r="N71" s="183"/>
      <c r="O71" s="428" t="s">
        <v>126</v>
      </c>
      <c r="P71" s="429" t="s">
        <v>218</v>
      </c>
      <c r="Q71" s="443" t="s">
        <v>201</v>
      </c>
      <c r="W71" s="109"/>
      <c r="X71" s="373" t="s">
        <v>147</v>
      </c>
      <c r="Y71" s="373"/>
      <c r="Z71" s="342"/>
      <c r="AA71" s="341" t="s">
        <v>221</v>
      </c>
      <c r="AB71" s="341"/>
      <c r="AC71" s="342"/>
      <c r="AD71" s="343" t="s">
        <v>222</v>
      </c>
      <c r="AE71" s="343"/>
      <c r="AF71" s="342"/>
      <c r="AG71" s="344" t="s">
        <v>223</v>
      </c>
      <c r="AH71" s="344"/>
      <c r="AI71" s="342"/>
      <c r="AJ71" s="346" t="s">
        <v>224</v>
      </c>
      <c r="AK71" s="346"/>
      <c r="AL71" s="346"/>
      <c r="AM71"/>
      <c r="AN71"/>
      <c r="AO71"/>
    </row>
    <row r="72" spans="1:42" ht="24.75" customHeight="1" x14ac:dyDescent="0.25">
      <c r="A72" s="420"/>
      <c r="B72" s="424"/>
      <c r="C72" s="425"/>
      <c r="D72" s="99" t="s">
        <v>93</v>
      </c>
      <c r="E72" s="99" t="s">
        <v>94</v>
      </c>
      <c r="F72" s="99" t="s">
        <v>93</v>
      </c>
      <c r="G72" s="99" t="s">
        <v>94</v>
      </c>
      <c r="H72" s="99" t="s">
        <v>93</v>
      </c>
      <c r="I72" s="99" t="s">
        <v>94</v>
      </c>
      <c r="J72" s="99" t="s">
        <v>93</v>
      </c>
      <c r="K72" s="99" t="s">
        <v>94</v>
      </c>
      <c r="L72" s="99" t="s">
        <v>93</v>
      </c>
      <c r="M72" s="100" t="s">
        <v>94</v>
      </c>
      <c r="N72" s="183"/>
      <c r="O72" s="383"/>
      <c r="P72" s="430"/>
      <c r="Q72" s="444"/>
      <c r="R72" s="132"/>
      <c r="S72" s="133"/>
      <c r="W72" s="1"/>
      <c r="X72" s="109" t="s">
        <v>219</v>
      </c>
      <c r="Y72" s="181" t="s">
        <v>220</v>
      </c>
      <c r="Z72" s="110" t="s">
        <v>151</v>
      </c>
      <c r="AA72" s="109" t="s">
        <v>219</v>
      </c>
      <c r="AB72" s="181" t="s">
        <v>220</v>
      </c>
      <c r="AC72" s="110" t="s">
        <v>151</v>
      </c>
      <c r="AD72" s="109" t="s">
        <v>219</v>
      </c>
      <c r="AE72" s="181" t="s">
        <v>220</v>
      </c>
      <c r="AF72" s="110" t="s">
        <v>151</v>
      </c>
      <c r="AG72" s="109" t="s">
        <v>219</v>
      </c>
      <c r="AH72" s="181" t="s">
        <v>220</v>
      </c>
      <c r="AI72" s="110" t="s">
        <v>151</v>
      </c>
      <c r="AJ72" s="109" t="s">
        <v>219</v>
      </c>
      <c r="AK72" s="181" t="s">
        <v>220</v>
      </c>
      <c r="AL72" s="110" t="s">
        <v>151</v>
      </c>
      <c r="AM72"/>
      <c r="AN72"/>
      <c r="AO72"/>
    </row>
    <row r="73" spans="1:42" ht="24.75" customHeight="1" x14ac:dyDescent="0.25">
      <c r="A73" s="420"/>
      <c r="B73" s="413" t="s">
        <v>99</v>
      </c>
      <c r="C73" s="184" t="s">
        <v>10</v>
      </c>
      <c r="D73" s="185" t="str">
        <f t="shared" ref="D73:M73" si="16">D13</f>
        <v>版本</v>
      </c>
      <c r="E73" s="185" t="str">
        <f t="shared" si="16"/>
        <v>版本</v>
      </c>
      <c r="F73" s="185" t="str">
        <f t="shared" si="16"/>
        <v>版本</v>
      </c>
      <c r="G73" s="185" t="str">
        <f t="shared" si="16"/>
        <v>版本</v>
      </c>
      <c r="H73" s="185" t="str">
        <f t="shared" si="16"/>
        <v>版本</v>
      </c>
      <c r="I73" s="185" t="str">
        <f t="shared" si="16"/>
        <v>版本</v>
      </c>
      <c r="J73" s="185" t="str">
        <f t="shared" si="16"/>
        <v>版本</v>
      </c>
      <c r="K73" s="185" t="str">
        <f t="shared" si="16"/>
        <v>版本</v>
      </c>
      <c r="L73" s="185" t="str">
        <f t="shared" si="16"/>
        <v>版本</v>
      </c>
      <c r="M73" s="186" t="str">
        <f t="shared" si="16"/>
        <v>版本</v>
      </c>
      <c r="N73" s="183"/>
      <c r="O73" s="415">
        <f>SUM(D74:M74)</f>
        <v>0</v>
      </c>
      <c r="P73" s="417">
        <f>O73*F9</f>
        <v>0</v>
      </c>
      <c r="Q73" s="393">
        <f>O73*F8</f>
        <v>0</v>
      </c>
      <c r="R73" s="133"/>
      <c r="S73" s="133"/>
      <c r="W73" s="345" t="s">
        <v>154</v>
      </c>
      <c r="X73" s="339">
        <f>SUMIF(D73:M73,"康軒",D74:M74)*F9</f>
        <v>0</v>
      </c>
      <c r="Y73" s="374">
        <f>SUMIF(D83:J83,"康軒",D86:J86)</f>
        <v>0</v>
      </c>
      <c r="Z73" s="340">
        <f>SUMIF(D73:M73,"康軒",D74:M74)*F8</f>
        <v>0</v>
      </c>
      <c r="AA73" s="339">
        <f>SUMIF(D73:M73,"翰林",D74:M74)*F9+AN74</f>
        <v>0</v>
      </c>
      <c r="AB73" s="374">
        <f>SUMIF(D83:J83,"翰林",D86:J86)</f>
        <v>0</v>
      </c>
      <c r="AC73" s="340">
        <f>SUMIF(D73:M73,"翰林",D74:M74)*F8+AO74</f>
        <v>0</v>
      </c>
      <c r="AD73" s="339">
        <f>SUMIF(D73:M73,"南一",D74:M74)*F9</f>
        <v>0</v>
      </c>
      <c r="AE73" s="374">
        <f>SUMIF(D83:J83,"南一",D86:J86)</f>
        <v>0</v>
      </c>
      <c r="AF73" s="340">
        <f>SUMIF(D73:M73,"南一",D74:M74)*F8</f>
        <v>0</v>
      </c>
      <c r="AG73" s="339">
        <f>SUMIF(D73:M73,"奇鼎",D74:M74)*F9</f>
        <v>0</v>
      </c>
      <c r="AH73" s="374">
        <f>SUMIF(D83:J83,"奇鼎",D86:J86)</f>
        <v>0</v>
      </c>
      <c r="AI73" s="340">
        <f>SUMIF(D73:M73,"奇鼎",D74:M74)*F8</f>
        <v>0</v>
      </c>
      <c r="AJ73" s="339">
        <f>SUMIF(D73:M73,"全華",D74:M74)*F9</f>
        <v>0</v>
      </c>
      <c r="AK73" s="374">
        <f>SUMIF(D83:J83,"全華",D86:J86)</f>
        <v>0</v>
      </c>
      <c r="AL73" s="340">
        <f>SUMIF(D73:M73,"全華",D74:M74)*F8</f>
        <v>0</v>
      </c>
      <c r="AM73" s="115"/>
      <c r="AN73" s="109" t="s">
        <v>219</v>
      </c>
      <c r="AO73" s="110" t="s">
        <v>151</v>
      </c>
    </row>
    <row r="74" spans="1:42" ht="24.75" customHeight="1" x14ac:dyDescent="0.25">
      <c r="A74" s="420"/>
      <c r="B74" s="413"/>
      <c r="C74" s="184" t="s">
        <v>77</v>
      </c>
      <c r="D74" s="187" t="str">
        <f>VLOOKUP(D73,工作表3!$BA$5:$CZ$12,2,FALSE)</f>
        <v>金額</v>
      </c>
      <c r="E74" s="187" t="str">
        <f>VLOOKUP(E73,工作表3!$BA$5:$CZ$12,3,FALSE)</f>
        <v>金額</v>
      </c>
      <c r="F74" s="187" t="str">
        <f>VLOOKUP(F73,工作表3!$BA$5:$CZ$12,4,FALSE)</f>
        <v>金額</v>
      </c>
      <c r="G74" s="187" t="str">
        <f>VLOOKUP(G73,工作表3!$BA$5:$CZ$12,5,FALSE)</f>
        <v>金額</v>
      </c>
      <c r="H74" s="187" t="str">
        <f>VLOOKUP(H73,工作表3!$BA$5:$CZ$12,6,FALSE)</f>
        <v>金額</v>
      </c>
      <c r="I74" s="187" t="str">
        <f>VLOOKUP(I73,工作表3!$BA$5:$CZ$12,7,FALSE)</f>
        <v>金額</v>
      </c>
      <c r="J74" s="187" t="str">
        <f>VLOOKUP(J73,工作表3!$BA$5:$CZ$12,8,FALSE)</f>
        <v>金額</v>
      </c>
      <c r="K74" s="187" t="str">
        <f>VLOOKUP(K73,工作表3!$BA$5:$CZ$12,9,FALSE)</f>
        <v>金額</v>
      </c>
      <c r="L74" s="187" t="str">
        <f>VLOOKUP(L73,工作表3!$BA$5:$CZ$12,10,FALSE)</f>
        <v>金額</v>
      </c>
      <c r="M74" s="188" t="str">
        <f>VLOOKUP(M73,工作表3!$BA$5:$CZ$12,11,FALSE)</f>
        <v>金額</v>
      </c>
      <c r="N74" s="183"/>
      <c r="O74" s="416"/>
      <c r="P74" s="418"/>
      <c r="Q74" s="394"/>
      <c r="R74" s="132"/>
      <c r="S74" s="132"/>
      <c r="W74" s="345"/>
      <c r="X74" s="339"/>
      <c r="Y74" s="374"/>
      <c r="Z74" s="340"/>
      <c r="AA74" s="339"/>
      <c r="AB74" s="374"/>
      <c r="AC74" s="340"/>
      <c r="AD74" s="339"/>
      <c r="AE74" s="374"/>
      <c r="AF74" s="340"/>
      <c r="AG74" s="339"/>
      <c r="AH74" s="374"/>
      <c r="AI74" s="340"/>
      <c r="AJ74" s="339"/>
      <c r="AK74" s="374"/>
      <c r="AL74" s="340"/>
      <c r="AM74" s="117" t="s">
        <v>159</v>
      </c>
      <c r="AN74" s="115">
        <f>SUMIF(D73:M73,"佳音",D74:M74)*F9</f>
        <v>0</v>
      </c>
      <c r="AO74" s="116">
        <f>SUMIF(D73:M73,"佳音",D74:M74)*F8</f>
        <v>0</v>
      </c>
    </row>
    <row r="75" spans="1:42" ht="24.75" customHeight="1" x14ac:dyDescent="0.25">
      <c r="A75" s="420"/>
      <c r="B75" s="413" t="s">
        <v>100</v>
      </c>
      <c r="C75" s="184" t="s">
        <v>10</v>
      </c>
      <c r="D75" s="185" t="str">
        <f t="shared" ref="D75:M75" si="17">D15</f>
        <v>版本</v>
      </c>
      <c r="E75" s="185" t="str">
        <f t="shared" si="17"/>
        <v>版本</v>
      </c>
      <c r="F75" s="185" t="str">
        <f t="shared" si="17"/>
        <v>版本</v>
      </c>
      <c r="G75" s="185" t="str">
        <f t="shared" si="17"/>
        <v>版本</v>
      </c>
      <c r="H75" s="185" t="str">
        <f t="shared" si="17"/>
        <v>版本</v>
      </c>
      <c r="I75" s="185" t="str">
        <f t="shared" si="17"/>
        <v>版本</v>
      </c>
      <c r="J75" s="185" t="str">
        <f t="shared" si="17"/>
        <v>版本</v>
      </c>
      <c r="K75" s="185" t="str">
        <f t="shared" si="17"/>
        <v>版本</v>
      </c>
      <c r="L75" s="185" t="str">
        <f t="shared" si="17"/>
        <v>版本</v>
      </c>
      <c r="M75" s="186" t="str">
        <f t="shared" si="17"/>
        <v>版本</v>
      </c>
      <c r="N75" s="183"/>
      <c r="O75" s="415">
        <f>SUM(D76:M76)</f>
        <v>0</v>
      </c>
      <c r="P75" s="417">
        <f>O75*H9</f>
        <v>0</v>
      </c>
      <c r="Q75" s="393">
        <f>O75*H8</f>
        <v>0</v>
      </c>
      <c r="R75" s="132"/>
      <c r="S75" s="132"/>
      <c r="W75" s="345" t="s">
        <v>155</v>
      </c>
      <c r="X75" s="339">
        <f>SUMIF(D75:M75,"康軒",D76:M76)*H9</f>
        <v>0</v>
      </c>
      <c r="Y75" s="374">
        <f>SUMIF(D87:J87,"康軒",D90:J90)</f>
        <v>0</v>
      </c>
      <c r="Z75" s="340">
        <f>SUMIF(D75:M75,"康軒",D76:M76)*H8</f>
        <v>0</v>
      </c>
      <c r="AA75" s="339">
        <f>SUMIF(D75:M75,"翰林",D76:M76)*H9+AN76</f>
        <v>0</v>
      </c>
      <c r="AB75" s="374">
        <f>SUMIF(D87:J87,"翰林",D90:J90)</f>
        <v>0</v>
      </c>
      <c r="AC75" s="340">
        <f>SUMIF(D75:M75,"翰林",D76:M76)*H8+AO76</f>
        <v>0</v>
      </c>
      <c r="AD75" s="339">
        <f>SUMIF(D75:M75,"南一",D76:M76)*H9</f>
        <v>0</v>
      </c>
      <c r="AE75" s="374">
        <f>SUMIF(D87:J87,"南一",D90:J90)</f>
        <v>0</v>
      </c>
      <c r="AF75" s="340">
        <f>SUMIF(D75:M75,"南一",D76:M76)*H8</f>
        <v>0</v>
      </c>
      <c r="AG75" s="339">
        <f>SUMIF(D75:M75,"奇鼎",D76:M76)*H9</f>
        <v>0</v>
      </c>
      <c r="AH75" s="374">
        <f>SUMIF(D87:J87,"奇鼎",D90:J90)</f>
        <v>0</v>
      </c>
      <c r="AI75" s="340">
        <f>SUMIF(D75:M75,"奇鼎",D76:M76)*H8</f>
        <v>0</v>
      </c>
      <c r="AJ75" s="339">
        <f>SUMIF(D75:M75,"全華",D76:M76)*H9</f>
        <v>0</v>
      </c>
      <c r="AK75" s="374">
        <f>SUMIF(D87:J87,"全華",D90:J90)</f>
        <v>0</v>
      </c>
      <c r="AL75" s="340">
        <f>SUMIF(D75:M75,"全華",D76:M76)*H8</f>
        <v>0</v>
      </c>
      <c r="AM75" s="109"/>
      <c r="AN75" s="109"/>
      <c r="AO75" s="110"/>
    </row>
    <row r="76" spans="1:42" ht="24.75" customHeight="1" x14ac:dyDescent="0.25">
      <c r="A76" s="420"/>
      <c r="B76" s="413"/>
      <c r="C76" s="184" t="s">
        <v>77</v>
      </c>
      <c r="D76" s="187" t="str">
        <f>VLOOKUP(D75,工作表3!$BA$5:$CZ$12,19,FALSE)</f>
        <v>金額</v>
      </c>
      <c r="E76" s="187" t="str">
        <f>VLOOKUP(E75,工作表3!$BA$5:$CZ$12,20,FALSE)</f>
        <v>金額</v>
      </c>
      <c r="F76" s="187" t="str">
        <f>VLOOKUP(F75,工作表3!$BA$5:$CZ$12,21,FALSE)</f>
        <v>金額</v>
      </c>
      <c r="G76" s="187" t="str">
        <f>VLOOKUP(G75,工作表3!$BA$5:$CZ$12,22,FALSE)</f>
        <v>金額</v>
      </c>
      <c r="H76" s="187" t="str">
        <f>VLOOKUP(H75,工作表3!$BA$5:$CZ$12,23,FALSE)</f>
        <v>金額</v>
      </c>
      <c r="I76" s="187" t="str">
        <f>VLOOKUP(I75,工作表3!$BA$5:$CZ$12,24,FALSE)</f>
        <v>金額</v>
      </c>
      <c r="J76" s="187" t="str">
        <f>VLOOKUP(J75,工作表3!$BA$5:$CZ$12,25,FALSE)</f>
        <v>金額</v>
      </c>
      <c r="K76" s="187" t="str">
        <f>VLOOKUP(K75,工作表3!$BA$5:$CZ$12,26,FALSE)</f>
        <v>金額</v>
      </c>
      <c r="L76" s="187" t="str">
        <f>VLOOKUP(L75,工作表3!$BA$5:$CZ$12,27,FALSE)</f>
        <v>金額</v>
      </c>
      <c r="M76" s="188" t="str">
        <f>VLOOKUP(M75,工作表3!$BA$5:$CZ$12,28,FALSE)</f>
        <v>金額</v>
      </c>
      <c r="N76" s="183"/>
      <c r="O76" s="416"/>
      <c r="P76" s="418"/>
      <c r="Q76" s="394"/>
      <c r="R76" s="132"/>
      <c r="S76" s="132"/>
      <c r="W76" s="345"/>
      <c r="X76" s="339"/>
      <c r="Y76" s="374"/>
      <c r="Z76" s="340"/>
      <c r="AA76" s="339"/>
      <c r="AB76" s="374"/>
      <c r="AC76" s="340"/>
      <c r="AD76" s="339"/>
      <c r="AE76" s="374"/>
      <c r="AF76" s="340"/>
      <c r="AG76" s="339"/>
      <c r="AH76" s="374"/>
      <c r="AI76" s="340"/>
      <c r="AJ76" s="339"/>
      <c r="AK76" s="374"/>
      <c r="AL76" s="340"/>
      <c r="AM76" s="117" t="s">
        <v>159</v>
      </c>
      <c r="AN76" s="115">
        <f>SUMIF(D75:M75,"佳音",D76:M76)*H9</f>
        <v>0</v>
      </c>
      <c r="AO76" s="116">
        <f>SUMIF(D75:M75,"佳音",D76:M76)*H8</f>
        <v>0</v>
      </c>
    </row>
    <row r="77" spans="1:42" ht="24.75" customHeight="1" x14ac:dyDescent="0.25">
      <c r="A77" s="420"/>
      <c r="B77" s="413" t="s">
        <v>101</v>
      </c>
      <c r="C77" s="184" t="s">
        <v>10</v>
      </c>
      <c r="D77" s="185" t="str">
        <f t="shared" ref="D77:M77" si="18">D17</f>
        <v>版本</v>
      </c>
      <c r="E77" s="185" t="str">
        <f t="shared" si="18"/>
        <v>版本</v>
      </c>
      <c r="F77" s="185" t="str">
        <f t="shared" si="18"/>
        <v>版本</v>
      </c>
      <c r="G77" s="185" t="str">
        <f t="shared" si="18"/>
        <v>版本</v>
      </c>
      <c r="H77" s="185" t="str">
        <f t="shared" si="18"/>
        <v>版本</v>
      </c>
      <c r="I77" s="185" t="str">
        <f t="shared" si="18"/>
        <v>版本</v>
      </c>
      <c r="J77" s="185" t="str">
        <f t="shared" si="18"/>
        <v>版本</v>
      </c>
      <c r="K77" s="185" t="str">
        <f t="shared" si="18"/>
        <v>版本</v>
      </c>
      <c r="L77" s="185" t="str">
        <f t="shared" si="18"/>
        <v>版本</v>
      </c>
      <c r="M77" s="186" t="str">
        <f t="shared" si="18"/>
        <v>版本</v>
      </c>
      <c r="N77" s="183"/>
      <c r="O77" s="415">
        <f>SUM(D78:M78)</f>
        <v>0</v>
      </c>
      <c r="P77" s="417">
        <f>O77*J9</f>
        <v>0</v>
      </c>
      <c r="Q77" s="393">
        <f>O77*J8</f>
        <v>0</v>
      </c>
      <c r="R77" s="134"/>
      <c r="S77" s="134"/>
      <c r="W77" s="345" t="s">
        <v>156</v>
      </c>
      <c r="X77" s="339">
        <f>SUMIF(D77:M77,"康軒",D78:M78)*J9</f>
        <v>0</v>
      </c>
      <c r="Y77" s="374">
        <f>SUMIF(D91:J91,"康軒",D94:J94)</f>
        <v>0</v>
      </c>
      <c r="Z77" s="340">
        <f>SUMIF(D77:M77,"康軒",D78:M78)*J8</f>
        <v>0</v>
      </c>
      <c r="AA77" s="339">
        <f>SUMIF(D77:M77,"翰林",D78:M78)*J9+AN78</f>
        <v>0</v>
      </c>
      <c r="AB77" s="374">
        <f>SUMIF(D91:J91,"翰林",D94:J94)</f>
        <v>0</v>
      </c>
      <c r="AC77" s="340">
        <f>SUMIF(D77:M77,"翰林",D78:M78)*J8+AO78</f>
        <v>0</v>
      </c>
      <c r="AD77" s="339">
        <f>SUMIF(D77:M77,"南一",D78:M78)*J9</f>
        <v>0</v>
      </c>
      <c r="AE77" s="374">
        <f>SUMIF(D91:J91,"南一",D94:J94)</f>
        <v>0</v>
      </c>
      <c r="AF77" s="340">
        <f>SUMIF(D77:M77,"南一",D78:M78)*J8</f>
        <v>0</v>
      </c>
      <c r="AG77" s="339">
        <f>SUMIF(D77:M77,"奇鼎",D78:M78)*J9</f>
        <v>0</v>
      </c>
      <c r="AH77" s="374">
        <f>SUMIF(D91:J91,"奇鼎",D94:J94)</f>
        <v>0</v>
      </c>
      <c r="AI77" s="340">
        <f>SUMIF(D77:M77,"奇鼎",D78:M78)*J8</f>
        <v>0</v>
      </c>
      <c r="AJ77" s="339">
        <f>SUMIF(D77:M77,"全華",D78:M78)*J9</f>
        <v>0</v>
      </c>
      <c r="AK77" s="374">
        <f>SUMIF(D91:J91,"全華",D94:J94)</f>
        <v>0</v>
      </c>
      <c r="AL77" s="340">
        <f>SUMIF(D77:M77,"全華",D78:M78)*J8</f>
        <v>0</v>
      </c>
      <c r="AM77" s="109"/>
      <c r="AN77" s="109"/>
      <c r="AO77" s="110"/>
    </row>
    <row r="78" spans="1:42" ht="24.75" customHeight="1" thickBot="1" x14ac:dyDescent="0.3">
      <c r="A78" s="421"/>
      <c r="B78" s="414"/>
      <c r="C78" s="189" t="s">
        <v>77</v>
      </c>
      <c r="D78" s="190" t="str">
        <f>VLOOKUP(D77,工作表3!$BA$5:$CZ$12,36,FALSE)</f>
        <v>金額</v>
      </c>
      <c r="E78" s="190" t="str">
        <f>VLOOKUP(E77,工作表3!$BA$5:$CZ$12,37,FALSE)</f>
        <v>金額</v>
      </c>
      <c r="F78" s="190" t="str">
        <f>VLOOKUP(F77,工作表3!$BA$5:$CZ$12,38,FALSE)</f>
        <v>金額</v>
      </c>
      <c r="G78" s="190" t="str">
        <f>VLOOKUP(G77,工作表3!$BA$5:$CZ$12,39,FALSE)</f>
        <v>金額</v>
      </c>
      <c r="H78" s="190" t="str">
        <f>VLOOKUP(H77,工作表3!$BA$5:$CZ$12,40,FALSE)</f>
        <v>金額</v>
      </c>
      <c r="I78" s="190" t="str">
        <f>VLOOKUP(I77,工作表3!$BA$5:$CZ$12,41,FALSE)</f>
        <v>金額</v>
      </c>
      <c r="J78" s="190" t="str">
        <f>VLOOKUP(J77,工作表3!$BA$5:$CZ$12,42,FALSE)</f>
        <v>金額</v>
      </c>
      <c r="K78" s="190" t="str">
        <f>VLOOKUP(K77,工作表3!$BA$5:$CZ$12,43,FALSE)</f>
        <v>金額</v>
      </c>
      <c r="L78" s="190" t="str">
        <f>VLOOKUP(L77,工作表3!$BA$5:$CZ$12,44,FALSE)</f>
        <v>金額</v>
      </c>
      <c r="M78" s="191" t="str">
        <f>VLOOKUP(M77,工作表3!$BA$5:$CZ$12,45,FALSE)</f>
        <v>金額</v>
      </c>
      <c r="N78" s="183"/>
      <c r="O78" s="416"/>
      <c r="P78" s="418"/>
      <c r="Q78" s="394"/>
      <c r="R78" s="134"/>
      <c r="S78" s="134"/>
      <c r="W78" s="345"/>
      <c r="X78" s="339"/>
      <c r="Y78" s="374"/>
      <c r="Z78" s="340"/>
      <c r="AA78" s="339"/>
      <c r="AB78" s="374"/>
      <c r="AC78" s="340"/>
      <c r="AD78" s="339"/>
      <c r="AE78" s="374"/>
      <c r="AF78" s="340"/>
      <c r="AG78" s="339"/>
      <c r="AH78" s="374"/>
      <c r="AI78" s="340"/>
      <c r="AJ78" s="339"/>
      <c r="AK78" s="374"/>
      <c r="AL78" s="340"/>
      <c r="AM78" s="117" t="s">
        <v>159</v>
      </c>
      <c r="AN78" s="115">
        <f>SUMIF(D77:M77,"佳音",D78:M78)*J9</f>
        <v>0</v>
      </c>
      <c r="AO78" s="116">
        <f>SUMIF(D77:M77,"佳音",D78:M78)*J8</f>
        <v>0</v>
      </c>
    </row>
    <row r="79" spans="1:42" ht="37.5" thickBot="1" x14ac:dyDescent="0.3">
      <c r="A79" s="192"/>
      <c r="B79" s="193"/>
      <c r="C79" s="193"/>
      <c r="D79" s="194"/>
      <c r="E79" s="194"/>
      <c r="F79" s="194"/>
      <c r="G79" s="194"/>
      <c r="H79" s="194"/>
      <c r="I79" s="194"/>
      <c r="J79" s="194"/>
      <c r="K79" s="194"/>
      <c r="L79" s="195"/>
      <c r="M79" s="195"/>
      <c r="N79" s="183"/>
      <c r="O79" s="196" t="s">
        <v>11</v>
      </c>
      <c r="P79" s="197">
        <f>SUM(P73:P78)</f>
        <v>0</v>
      </c>
      <c r="Q79" s="198">
        <f>SUM(Q73:Q78)</f>
        <v>0</v>
      </c>
      <c r="W79" s="371" t="s">
        <v>11</v>
      </c>
      <c r="X79" s="372">
        <f>SUM(X73:X78)</f>
        <v>0</v>
      </c>
      <c r="Y79" s="375">
        <f>SUM(Y73:Y78)</f>
        <v>0</v>
      </c>
      <c r="Z79" s="370">
        <f t="shared" ref="Z79:AA79" si="19">SUM(Z73:Z78)</f>
        <v>0</v>
      </c>
      <c r="AA79" s="372">
        <f t="shared" si="19"/>
        <v>0</v>
      </c>
      <c r="AB79" s="375">
        <f>SUM(AB73:AB78)</f>
        <v>0</v>
      </c>
      <c r="AC79" s="370">
        <f t="shared" ref="AC79:AD79" si="20">SUM(AC73:AC78)</f>
        <v>0</v>
      </c>
      <c r="AD79" s="372">
        <f t="shared" si="20"/>
        <v>0</v>
      </c>
      <c r="AE79" s="375">
        <f>SUM(AE73:AE78)</f>
        <v>0</v>
      </c>
      <c r="AF79" s="370">
        <f t="shared" ref="AF79" si="21">SUM(AF73:AF78)</f>
        <v>0</v>
      </c>
      <c r="AG79" s="372">
        <f>SUM(AG73:AG78)</f>
        <v>0</v>
      </c>
      <c r="AH79" s="375">
        <f>SUM(AH73:AH78)</f>
        <v>0</v>
      </c>
      <c r="AI79" s="370">
        <f t="shared" ref="AI79:AJ79" si="22">SUM(AI73:AI78)</f>
        <v>0</v>
      </c>
      <c r="AJ79" s="372">
        <f t="shared" si="22"/>
        <v>0</v>
      </c>
      <c r="AK79" s="375">
        <f>SUM(AK73:AK78)</f>
        <v>0</v>
      </c>
      <c r="AL79" s="370">
        <f t="shared" ref="AL79" si="23">SUM(AL73:AL78)</f>
        <v>0</v>
      </c>
      <c r="AM79" s="115"/>
      <c r="AN79" s="115"/>
      <c r="AO79" s="115"/>
    </row>
    <row r="80" spans="1:42" ht="24.75" customHeight="1" thickBot="1" x14ac:dyDescent="0.3">
      <c r="A80" s="199"/>
      <c r="B80" s="20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3"/>
      <c r="S80" s="3"/>
      <c r="T80" s="3"/>
      <c r="W80" s="371"/>
      <c r="X80" s="372"/>
      <c r="Y80" s="375"/>
      <c r="Z80" s="370"/>
      <c r="AA80" s="372"/>
      <c r="AB80" s="375"/>
      <c r="AC80" s="370"/>
      <c r="AD80" s="372"/>
      <c r="AE80" s="375"/>
      <c r="AF80" s="370"/>
      <c r="AG80" s="372"/>
      <c r="AH80" s="375"/>
      <c r="AI80" s="370"/>
      <c r="AJ80" s="372"/>
      <c r="AK80" s="375"/>
      <c r="AL80" s="370"/>
      <c r="AM80" s="115"/>
      <c r="AN80" s="115"/>
      <c r="AO80" s="115"/>
    </row>
    <row r="81" spans="1:41" ht="24.75" customHeight="1" x14ac:dyDescent="0.25">
      <c r="A81" s="431" t="s">
        <v>190</v>
      </c>
      <c r="B81" s="434" t="s">
        <v>209</v>
      </c>
      <c r="C81" s="435"/>
      <c r="D81" s="201" t="s">
        <v>89</v>
      </c>
      <c r="E81" s="201" t="s">
        <v>90</v>
      </c>
      <c r="F81" s="202" t="s">
        <v>91</v>
      </c>
      <c r="G81" s="407" t="s">
        <v>194</v>
      </c>
      <c r="H81" s="408"/>
      <c r="I81" s="407" t="s">
        <v>210</v>
      </c>
      <c r="J81" s="408"/>
      <c r="K81" s="409" t="s">
        <v>195</v>
      </c>
      <c r="L81" s="402"/>
      <c r="M81" s="203"/>
      <c r="N81" s="183"/>
      <c r="O81" s="382" t="s">
        <v>228</v>
      </c>
      <c r="P81" s="412">
        <f>P79</f>
        <v>0</v>
      </c>
      <c r="Q81" s="385"/>
      <c r="R81" s="136"/>
      <c r="W81" s="21" t="s">
        <v>153</v>
      </c>
      <c r="X81" s="347">
        <f>SUM(X79:Z80)</f>
        <v>0</v>
      </c>
      <c r="Y81" s="347"/>
      <c r="Z81" s="348"/>
      <c r="AA81" s="347">
        <f>SUM(AA79:AC80)</f>
        <v>0</v>
      </c>
      <c r="AB81" s="347"/>
      <c r="AC81" s="348"/>
      <c r="AD81" s="347">
        <f>SUM(AD79:AF80)</f>
        <v>0</v>
      </c>
      <c r="AE81" s="347"/>
      <c r="AF81" s="348"/>
      <c r="AG81" s="347">
        <f>SUM(AG79:AI80)</f>
        <v>0</v>
      </c>
      <c r="AH81" s="347"/>
      <c r="AI81" s="348"/>
      <c r="AJ81" s="347">
        <f>SUM(AJ79:AL80)</f>
        <v>0</v>
      </c>
      <c r="AK81" s="347"/>
      <c r="AL81" s="348"/>
      <c r="AM81" s="115"/>
      <c r="AN81" s="115"/>
      <c r="AO81" s="115"/>
    </row>
    <row r="82" spans="1:41" ht="24.75" customHeight="1" x14ac:dyDescent="0.25">
      <c r="A82" s="432"/>
      <c r="B82" s="436"/>
      <c r="C82" s="437"/>
      <c r="D82" s="99" t="s">
        <v>93</v>
      </c>
      <c r="E82" s="99" t="s">
        <v>93</v>
      </c>
      <c r="F82" s="99" t="s">
        <v>93</v>
      </c>
      <c r="G82" s="99" t="s">
        <v>93</v>
      </c>
      <c r="H82" s="99" t="s">
        <v>94</v>
      </c>
      <c r="I82" s="99" t="s">
        <v>93</v>
      </c>
      <c r="J82" s="99" t="s">
        <v>94</v>
      </c>
      <c r="K82" s="410"/>
      <c r="L82" s="411"/>
      <c r="M82" s="203"/>
      <c r="N82" s="183"/>
      <c r="O82" s="383"/>
      <c r="P82" s="385"/>
      <c r="Q82" s="385"/>
      <c r="R82" s="136"/>
    </row>
    <row r="83" spans="1:41" ht="24.75" customHeight="1" x14ac:dyDescent="0.25">
      <c r="A83" s="432"/>
      <c r="B83" s="386" t="s">
        <v>99</v>
      </c>
      <c r="C83" s="184" t="s">
        <v>10</v>
      </c>
      <c r="D83" s="185" t="str">
        <f t="shared" ref="D83:J83" si="24">D23</f>
        <v>版本</v>
      </c>
      <c r="E83" s="185" t="str">
        <f t="shared" si="24"/>
        <v>版本</v>
      </c>
      <c r="F83" s="185" t="str">
        <f t="shared" si="24"/>
        <v>版本</v>
      </c>
      <c r="G83" s="185" t="str">
        <f t="shared" si="24"/>
        <v>版本</v>
      </c>
      <c r="H83" s="185" t="str">
        <f t="shared" si="24"/>
        <v>版本</v>
      </c>
      <c r="I83" s="185" t="str">
        <f t="shared" si="24"/>
        <v>版本</v>
      </c>
      <c r="J83" s="185" t="str">
        <f t="shared" si="24"/>
        <v>版本</v>
      </c>
      <c r="K83" s="376">
        <f>SUM(D86:J86)</f>
        <v>0</v>
      </c>
      <c r="L83" s="377"/>
      <c r="M83" s="204"/>
      <c r="N83" s="183"/>
      <c r="O83" s="383"/>
      <c r="P83" s="385"/>
      <c r="Q83" s="385"/>
      <c r="R83" s="136"/>
    </row>
    <row r="84" spans="1:41" ht="24.75" customHeight="1" x14ac:dyDescent="0.25">
      <c r="A84" s="432"/>
      <c r="B84" s="387"/>
      <c r="C84" s="184" t="s">
        <v>77</v>
      </c>
      <c r="D84" s="187" t="str">
        <f>VLOOKUP(D83,工作表3!$BA$5:$CZ$12,12,FALSE)</f>
        <v>金額</v>
      </c>
      <c r="E84" s="187" t="str">
        <f>VLOOKUP(E83,工作表3!$BA$5:$CZ$12,13,FALSE)</f>
        <v>金額</v>
      </c>
      <c r="F84" s="187" t="str">
        <f>VLOOKUP(F83,工作表3!$BA$5:$CZ$12,14,FALSE)</f>
        <v>金額</v>
      </c>
      <c r="G84" s="187" t="str">
        <f>VLOOKUP(G83,工作表3!$BA$5:$CZ$12,15,FALSE)</f>
        <v>金額</v>
      </c>
      <c r="H84" s="187" t="str">
        <f>VLOOKUP(H83,工作表3!$BA$5:$CZ$12,16,FALSE)</f>
        <v>金額</v>
      </c>
      <c r="I84" s="187" t="str">
        <f>VLOOKUP(I83,工作表3!$BA$5:$CZ$12,17,FALSE)</f>
        <v>金額</v>
      </c>
      <c r="J84" s="187" t="str">
        <f>VLOOKUP(J83,工作表3!$BA$5:$CZ$12,18,FALSE)</f>
        <v>金額</v>
      </c>
      <c r="K84" s="378"/>
      <c r="L84" s="379"/>
      <c r="M84" s="205"/>
      <c r="N84" s="183"/>
      <c r="O84" s="383"/>
      <c r="P84" s="385"/>
      <c r="Q84" s="385"/>
      <c r="R84" s="136"/>
    </row>
    <row r="85" spans="1:41" ht="24.75" customHeight="1" x14ac:dyDescent="0.25">
      <c r="A85" s="432"/>
      <c r="B85" s="388"/>
      <c r="C85" s="208" t="s">
        <v>204</v>
      </c>
      <c r="D85" s="187">
        <f t="shared" ref="D85:J85" si="25">D25</f>
        <v>0</v>
      </c>
      <c r="E85" s="187">
        <f t="shared" si="25"/>
        <v>0</v>
      </c>
      <c r="F85" s="187">
        <f t="shared" si="25"/>
        <v>0</v>
      </c>
      <c r="G85" s="187">
        <f t="shared" si="25"/>
        <v>0</v>
      </c>
      <c r="H85" s="187">
        <f t="shared" si="25"/>
        <v>0</v>
      </c>
      <c r="I85" s="187">
        <f t="shared" si="25"/>
        <v>0</v>
      </c>
      <c r="J85" s="187">
        <f t="shared" si="25"/>
        <v>0</v>
      </c>
      <c r="K85" s="378"/>
      <c r="L85" s="379"/>
      <c r="M85" s="205"/>
      <c r="N85" s="183"/>
      <c r="O85" s="382" t="s">
        <v>227</v>
      </c>
      <c r="P85" s="384">
        <f>SUM(K83:L94)</f>
        <v>0</v>
      </c>
      <c r="Q85" s="385"/>
      <c r="R85" s="136"/>
    </row>
    <row r="86" spans="1:41" ht="24.75" customHeight="1" x14ac:dyDescent="0.25">
      <c r="A86" s="432"/>
      <c r="B86" s="389"/>
      <c r="C86" s="208" t="s">
        <v>205</v>
      </c>
      <c r="D86" s="187">
        <f>IF(ISERROR(D84*D85),,D84*D85)</f>
        <v>0</v>
      </c>
      <c r="E86" s="187">
        <f t="shared" ref="E86:J86" si="26">IF(ISERROR(E84*E85),,E84*E85)</f>
        <v>0</v>
      </c>
      <c r="F86" s="187">
        <f t="shared" si="26"/>
        <v>0</v>
      </c>
      <c r="G86" s="187">
        <f t="shared" si="26"/>
        <v>0</v>
      </c>
      <c r="H86" s="187">
        <f t="shared" si="26"/>
        <v>0</v>
      </c>
      <c r="I86" s="187">
        <f t="shared" si="26"/>
        <v>0</v>
      </c>
      <c r="J86" s="187">
        <f t="shared" si="26"/>
        <v>0</v>
      </c>
      <c r="K86" s="380"/>
      <c r="L86" s="381"/>
      <c r="M86" s="205"/>
      <c r="N86" s="183"/>
      <c r="O86" s="383"/>
      <c r="P86" s="385"/>
      <c r="Q86" s="385"/>
      <c r="R86" s="136"/>
    </row>
    <row r="87" spans="1:41" ht="24.75" customHeight="1" x14ac:dyDescent="0.25">
      <c r="A87" s="432"/>
      <c r="B87" s="386" t="s">
        <v>100</v>
      </c>
      <c r="C87" s="208" t="s">
        <v>10</v>
      </c>
      <c r="D87" s="185" t="str">
        <f t="shared" ref="D87:J87" si="27">D27</f>
        <v>版本</v>
      </c>
      <c r="E87" s="185" t="str">
        <f t="shared" si="27"/>
        <v>版本</v>
      </c>
      <c r="F87" s="185" t="str">
        <f t="shared" si="27"/>
        <v>版本</v>
      </c>
      <c r="G87" s="185" t="str">
        <f t="shared" si="27"/>
        <v>版本</v>
      </c>
      <c r="H87" s="185" t="str">
        <f t="shared" si="27"/>
        <v>版本</v>
      </c>
      <c r="I87" s="185" t="str">
        <f t="shared" si="27"/>
        <v>版本</v>
      </c>
      <c r="J87" s="185" t="str">
        <f t="shared" si="27"/>
        <v>版本</v>
      </c>
      <c r="K87" s="376">
        <f>SUM(D90:J90)</f>
        <v>0</v>
      </c>
      <c r="L87" s="377"/>
      <c r="M87" s="204"/>
      <c r="N87" s="183"/>
      <c r="O87" s="383"/>
      <c r="P87" s="385"/>
      <c r="Q87" s="385"/>
      <c r="R87" s="136"/>
    </row>
    <row r="88" spans="1:41" ht="24.75" customHeight="1" x14ac:dyDescent="0.25">
      <c r="A88" s="432"/>
      <c r="B88" s="387"/>
      <c r="C88" s="208" t="s">
        <v>77</v>
      </c>
      <c r="D88" s="187" t="str">
        <f>VLOOKUP(D87,工作表3!$BA$5:$CZ$12,29,FALSE)</f>
        <v>金額</v>
      </c>
      <c r="E88" s="187" t="str">
        <f>VLOOKUP(E87,工作表3!$BA$5:$CZ$12,30,FALSE)</f>
        <v>金額</v>
      </c>
      <c r="F88" s="187" t="str">
        <f>VLOOKUP(F87,工作表3!$BA$5:$CZ$12,31,FALSE)</f>
        <v>金額</v>
      </c>
      <c r="G88" s="187" t="str">
        <f>VLOOKUP(G87,工作表3!$BA$5:$CZ$12,32,FALSE)</f>
        <v>金額</v>
      </c>
      <c r="H88" s="187" t="str">
        <f>VLOOKUP(H87,工作表3!$BA$5:$CZ$12,33,FALSE)</f>
        <v>金額</v>
      </c>
      <c r="I88" s="187" t="str">
        <f>VLOOKUP(I87,工作表3!$BA$5:$CZ$12,34,FALSE)</f>
        <v>金額</v>
      </c>
      <c r="J88" s="187" t="str">
        <f>VLOOKUP(J87,工作表3!$BA$5:$CZ$12,35,FALSE)</f>
        <v>金額</v>
      </c>
      <c r="K88" s="390"/>
      <c r="L88" s="379"/>
      <c r="M88" s="205"/>
      <c r="N88" s="183"/>
      <c r="O88" s="382" t="s">
        <v>230</v>
      </c>
      <c r="P88" s="384">
        <f>Q79</f>
        <v>0</v>
      </c>
      <c r="Q88" s="385"/>
      <c r="R88" s="136"/>
    </row>
    <row r="89" spans="1:41" ht="24.75" customHeight="1" x14ac:dyDescent="0.25">
      <c r="A89" s="432"/>
      <c r="B89" s="388"/>
      <c r="C89" s="208" t="s">
        <v>204</v>
      </c>
      <c r="D89" s="187">
        <f t="shared" ref="D89:J89" si="28">D29</f>
        <v>0</v>
      </c>
      <c r="E89" s="187">
        <f t="shared" si="28"/>
        <v>0</v>
      </c>
      <c r="F89" s="187">
        <f t="shared" si="28"/>
        <v>0</v>
      </c>
      <c r="G89" s="187">
        <f t="shared" si="28"/>
        <v>0</v>
      </c>
      <c r="H89" s="187">
        <f t="shared" si="28"/>
        <v>0</v>
      </c>
      <c r="I89" s="187">
        <f t="shared" si="28"/>
        <v>0</v>
      </c>
      <c r="J89" s="187">
        <f t="shared" si="28"/>
        <v>0</v>
      </c>
      <c r="K89" s="378"/>
      <c r="L89" s="379"/>
      <c r="M89" s="205"/>
      <c r="N89" s="183"/>
      <c r="O89" s="383"/>
      <c r="P89" s="385"/>
      <c r="Q89" s="385"/>
      <c r="R89" s="136"/>
    </row>
    <row r="90" spans="1:41" ht="24.75" customHeight="1" thickBot="1" x14ac:dyDescent="0.3">
      <c r="A90" s="432"/>
      <c r="B90" s="389"/>
      <c r="C90" s="208" t="s">
        <v>205</v>
      </c>
      <c r="D90" s="187">
        <f>IF(ISERROR(D88*D89),,D88*D89)</f>
        <v>0</v>
      </c>
      <c r="E90" s="187">
        <f t="shared" ref="E90:J90" si="29">IF(ISERROR(E88*E89),,E88*E89)</f>
        <v>0</v>
      </c>
      <c r="F90" s="187">
        <f t="shared" si="29"/>
        <v>0</v>
      </c>
      <c r="G90" s="187">
        <f t="shared" si="29"/>
        <v>0</v>
      </c>
      <c r="H90" s="187">
        <f t="shared" si="29"/>
        <v>0</v>
      </c>
      <c r="I90" s="187">
        <f t="shared" si="29"/>
        <v>0</v>
      </c>
      <c r="J90" s="187">
        <f t="shared" si="29"/>
        <v>0</v>
      </c>
      <c r="K90" s="380"/>
      <c r="L90" s="381"/>
      <c r="M90" s="205"/>
      <c r="N90" s="183"/>
      <c r="O90" s="391"/>
      <c r="P90" s="392"/>
      <c r="Q90" s="392"/>
      <c r="R90" s="136"/>
    </row>
    <row r="91" spans="1:41" ht="24.75" customHeight="1" x14ac:dyDescent="0.25">
      <c r="A91" s="432"/>
      <c r="B91" s="386" t="s">
        <v>101</v>
      </c>
      <c r="C91" s="208" t="s">
        <v>10</v>
      </c>
      <c r="D91" s="185" t="str">
        <f t="shared" ref="D91:J91" si="30">D31</f>
        <v>版本</v>
      </c>
      <c r="E91" s="185" t="str">
        <f t="shared" si="30"/>
        <v>版本</v>
      </c>
      <c r="F91" s="185" t="str">
        <f t="shared" si="30"/>
        <v>版本</v>
      </c>
      <c r="G91" s="185" t="str">
        <f t="shared" si="30"/>
        <v>版本</v>
      </c>
      <c r="H91" s="185" t="str">
        <f t="shared" si="30"/>
        <v>版本</v>
      </c>
      <c r="I91" s="185" t="str">
        <f t="shared" si="30"/>
        <v>版本</v>
      </c>
      <c r="J91" s="185" t="str">
        <f t="shared" si="30"/>
        <v>版本</v>
      </c>
      <c r="K91" s="376">
        <f>SUM(D94:J94)</f>
        <v>0</v>
      </c>
      <c r="L91" s="377"/>
      <c r="M91" s="204"/>
      <c r="N91" s="183"/>
      <c r="O91" s="398" t="s">
        <v>229</v>
      </c>
      <c r="P91" s="401">
        <f>SUM(P81:Q90)</f>
        <v>0</v>
      </c>
      <c r="Q91" s="402"/>
      <c r="R91" s="136"/>
    </row>
    <row r="92" spans="1:41" ht="24.75" customHeight="1" x14ac:dyDescent="0.25">
      <c r="A92" s="432"/>
      <c r="B92" s="387"/>
      <c r="C92" s="208" t="s">
        <v>77</v>
      </c>
      <c r="D92" s="187" t="str">
        <f>VLOOKUP(D91,工作表3!$BA$5:$CZ$12,46,FALSE)</f>
        <v>金額</v>
      </c>
      <c r="E92" s="187" t="str">
        <f>VLOOKUP(E91,工作表3!$BA$5:$CZ$12,47,FALSE)</f>
        <v>金額</v>
      </c>
      <c r="F92" s="187" t="str">
        <f>VLOOKUP(F91,工作表3!$BA$5:$CZ$12,48,FALSE)</f>
        <v>金額</v>
      </c>
      <c r="G92" s="187" t="str">
        <f>VLOOKUP(G91,工作表3!$BA$5:$CZ$12,49,FALSE)</f>
        <v>金額</v>
      </c>
      <c r="H92" s="187" t="str">
        <f>VLOOKUP(H91,工作表3!$BA$5:$CZ$12,50,FALSE)</f>
        <v>金額</v>
      </c>
      <c r="I92" s="187" t="str">
        <f>VLOOKUP(I91,工作表3!$BA$5:$CZ$12,51,FALSE)</f>
        <v>金額</v>
      </c>
      <c r="J92" s="187" t="str">
        <f>VLOOKUP(J91,工作表3!$BA$5:$CZ$12,52,FALSE)</f>
        <v>金額</v>
      </c>
      <c r="K92" s="390"/>
      <c r="L92" s="379"/>
      <c r="M92" s="205"/>
      <c r="N92" s="183"/>
      <c r="O92" s="399"/>
      <c r="P92" s="403"/>
      <c r="Q92" s="404"/>
      <c r="R92" s="136"/>
    </row>
    <row r="93" spans="1:41" ht="24.75" customHeight="1" x14ac:dyDescent="0.25">
      <c r="A93" s="432"/>
      <c r="B93" s="388"/>
      <c r="C93" s="208" t="s">
        <v>204</v>
      </c>
      <c r="D93" s="206">
        <f t="shared" ref="D93:J93" si="31">D33</f>
        <v>0</v>
      </c>
      <c r="E93" s="206">
        <f t="shared" si="31"/>
        <v>0</v>
      </c>
      <c r="F93" s="206">
        <f t="shared" si="31"/>
        <v>0</v>
      </c>
      <c r="G93" s="206">
        <f t="shared" si="31"/>
        <v>0</v>
      </c>
      <c r="H93" s="206">
        <f t="shared" si="31"/>
        <v>0</v>
      </c>
      <c r="I93" s="206">
        <f t="shared" si="31"/>
        <v>0</v>
      </c>
      <c r="J93" s="206">
        <f t="shared" si="31"/>
        <v>0</v>
      </c>
      <c r="K93" s="378"/>
      <c r="L93" s="379"/>
      <c r="M93" s="205"/>
      <c r="N93" s="183"/>
      <c r="O93" s="399"/>
      <c r="P93" s="403"/>
      <c r="Q93" s="404"/>
      <c r="R93" s="136"/>
    </row>
    <row r="94" spans="1:41" ht="24.75" customHeight="1" thickBot="1" x14ac:dyDescent="0.3">
      <c r="A94" s="433"/>
      <c r="B94" s="395"/>
      <c r="C94" s="189" t="s">
        <v>205</v>
      </c>
      <c r="D94" s="207">
        <f>IF(ISERROR(D92*D93),,D92*D93)</f>
        <v>0</v>
      </c>
      <c r="E94" s="207">
        <f t="shared" ref="E94:J94" si="32">IF(ISERROR(E92*E93),,E92*E93)</f>
        <v>0</v>
      </c>
      <c r="F94" s="207">
        <f t="shared" si="32"/>
        <v>0</v>
      </c>
      <c r="G94" s="207">
        <f t="shared" si="32"/>
        <v>0</v>
      </c>
      <c r="H94" s="207">
        <f t="shared" si="32"/>
        <v>0</v>
      </c>
      <c r="I94" s="207">
        <f t="shared" si="32"/>
        <v>0</v>
      </c>
      <c r="J94" s="207">
        <f t="shared" si="32"/>
        <v>0</v>
      </c>
      <c r="K94" s="396"/>
      <c r="L94" s="397"/>
      <c r="M94" s="205"/>
      <c r="N94" s="183"/>
      <c r="O94" s="400"/>
      <c r="P94" s="405"/>
      <c r="Q94" s="406"/>
      <c r="R94" s="136"/>
    </row>
  </sheetData>
  <mergeCells count="307">
    <mergeCell ref="A1:J1"/>
    <mergeCell ref="B17:B18"/>
    <mergeCell ref="N1:T2"/>
    <mergeCell ref="A2:J2"/>
    <mergeCell ref="A4:T4"/>
    <mergeCell ref="A5:A9"/>
    <mergeCell ref="B5:E5"/>
    <mergeCell ref="F5:L5"/>
    <mergeCell ref="N5:N9"/>
    <mergeCell ref="B7:E7"/>
    <mergeCell ref="F7:G7"/>
    <mergeCell ref="H7:I7"/>
    <mergeCell ref="J7:K7"/>
    <mergeCell ref="B6:E6"/>
    <mergeCell ref="F6:G6"/>
    <mergeCell ref="H6:I6"/>
    <mergeCell ref="J6:K6"/>
    <mergeCell ref="B9:E9"/>
    <mergeCell ref="F9:G9"/>
    <mergeCell ref="H9:I9"/>
    <mergeCell ref="J9:K9"/>
    <mergeCell ref="B8:E8"/>
    <mergeCell ref="F8:G8"/>
    <mergeCell ref="H8:I8"/>
    <mergeCell ref="J8:K8"/>
    <mergeCell ref="B23:B26"/>
    <mergeCell ref="A45:U45"/>
    <mergeCell ref="A46:U46"/>
    <mergeCell ref="K21:L22"/>
    <mergeCell ref="L11:M11"/>
    <mergeCell ref="K23:L26"/>
    <mergeCell ref="K31:L34"/>
    <mergeCell ref="A21:A34"/>
    <mergeCell ref="G21:H21"/>
    <mergeCell ref="A11:A18"/>
    <mergeCell ref="D11:E11"/>
    <mergeCell ref="F11:G11"/>
    <mergeCell ref="H11:I11"/>
    <mergeCell ref="J11:K11"/>
    <mergeCell ref="B27:B30"/>
    <mergeCell ref="B31:B34"/>
    <mergeCell ref="B11:C12"/>
    <mergeCell ref="B21:C22"/>
    <mergeCell ref="I21:J21"/>
    <mergeCell ref="K27:L30"/>
    <mergeCell ref="B15:B16"/>
    <mergeCell ref="A49:A54"/>
    <mergeCell ref="T49:T54"/>
    <mergeCell ref="W49:W50"/>
    <mergeCell ref="X49:X50"/>
    <mergeCell ref="Y49:Y50"/>
    <mergeCell ref="B13:B14"/>
    <mergeCell ref="K47:L47"/>
    <mergeCell ref="O17:O18"/>
    <mergeCell ref="P15:P16"/>
    <mergeCell ref="P17:P18"/>
    <mergeCell ref="O13:O14"/>
    <mergeCell ref="X51:X52"/>
    <mergeCell ref="Y51:Y52"/>
    <mergeCell ref="W53:W54"/>
    <mergeCell ref="X53:X54"/>
    <mergeCell ref="Y53:Y54"/>
    <mergeCell ref="T47:T48"/>
    <mergeCell ref="A47:B48"/>
    <mergeCell ref="C47:D47"/>
    <mergeCell ref="E47:F47"/>
    <mergeCell ref="G47:H47"/>
    <mergeCell ref="I47:J47"/>
    <mergeCell ref="P47:S47"/>
    <mergeCell ref="U47:U48"/>
    <mergeCell ref="R5:T5"/>
    <mergeCell ref="Q11:Q12"/>
    <mergeCell ref="Q13:Q14"/>
    <mergeCell ref="Q15:Q16"/>
    <mergeCell ref="Q17:Q18"/>
    <mergeCell ref="P21:Q24"/>
    <mergeCell ref="P25:Q27"/>
    <mergeCell ref="P28:Q30"/>
    <mergeCell ref="P31:Q34"/>
    <mergeCell ref="O5:Q5"/>
    <mergeCell ref="O6:P6"/>
    <mergeCell ref="O7:Q7"/>
    <mergeCell ref="P11:P12"/>
    <mergeCell ref="P13:P14"/>
    <mergeCell ref="O21:O24"/>
    <mergeCell ref="O25:O27"/>
    <mergeCell ref="O28:O30"/>
    <mergeCell ref="O31:O34"/>
    <mergeCell ref="O11:O12"/>
    <mergeCell ref="O15:O16"/>
    <mergeCell ref="AH16:AH17"/>
    <mergeCell ref="X11:AI11"/>
    <mergeCell ref="X12:Z12"/>
    <mergeCell ref="AA12:AC12"/>
    <mergeCell ref="AD12:AF12"/>
    <mergeCell ref="AG12:AI12"/>
    <mergeCell ref="AJ12:AL12"/>
    <mergeCell ref="W14:W15"/>
    <mergeCell ref="X14:X15"/>
    <mergeCell ref="Z14:Z15"/>
    <mergeCell ref="AA14:AA15"/>
    <mergeCell ref="AC14:AC15"/>
    <mergeCell ref="AD14:AD15"/>
    <mergeCell ref="AF14:AF15"/>
    <mergeCell ref="AG14:AG15"/>
    <mergeCell ref="AI14:AI15"/>
    <mergeCell ref="AJ14:AJ15"/>
    <mergeCell ref="AL14:AL15"/>
    <mergeCell ref="AH14:AH15"/>
    <mergeCell ref="AE16:AE17"/>
    <mergeCell ref="AE18:AE19"/>
    <mergeCell ref="AL16:AL17"/>
    <mergeCell ref="W18:W19"/>
    <mergeCell ref="X18:X19"/>
    <mergeCell ref="Z18:Z19"/>
    <mergeCell ref="AA18:AA19"/>
    <mergeCell ref="AC18:AC19"/>
    <mergeCell ref="AD18:AD19"/>
    <mergeCell ref="AF18:AF19"/>
    <mergeCell ref="AG18:AG19"/>
    <mergeCell ref="AI18:AI19"/>
    <mergeCell ref="AJ18:AJ19"/>
    <mergeCell ref="AL18:AL19"/>
    <mergeCell ref="AK16:AK17"/>
    <mergeCell ref="AK18:AK19"/>
    <mergeCell ref="W16:W17"/>
    <mergeCell ref="X16:X17"/>
    <mergeCell ref="Z16:Z17"/>
    <mergeCell ref="AA16:AA17"/>
    <mergeCell ref="AC16:AC17"/>
    <mergeCell ref="AD16:AD17"/>
    <mergeCell ref="AF16:AF17"/>
    <mergeCell ref="AG16:AG17"/>
    <mergeCell ref="AI16:AI17"/>
    <mergeCell ref="W55:W56"/>
    <mergeCell ref="AE20:AE21"/>
    <mergeCell ref="AH18:AH19"/>
    <mergeCell ref="AH20:AH21"/>
    <mergeCell ref="AK14:AK15"/>
    <mergeCell ref="W20:W21"/>
    <mergeCell ref="X20:X21"/>
    <mergeCell ref="Z20:Z21"/>
    <mergeCell ref="AA20:AA21"/>
    <mergeCell ref="AC20:AC21"/>
    <mergeCell ref="AD20:AD21"/>
    <mergeCell ref="AF20:AF21"/>
    <mergeCell ref="AG20:AG21"/>
    <mergeCell ref="AI20:AI21"/>
    <mergeCell ref="AJ16:AJ17"/>
    <mergeCell ref="Y14:Y15"/>
    <mergeCell ref="Y16:Y17"/>
    <mergeCell ref="Y18:Y19"/>
    <mergeCell ref="Y20:Y21"/>
    <mergeCell ref="AB14:AB15"/>
    <mergeCell ref="AB16:AB17"/>
    <mergeCell ref="AB18:AB19"/>
    <mergeCell ref="AB20:AB21"/>
    <mergeCell ref="AE14:AE15"/>
    <mergeCell ref="AA55:AA56"/>
    <mergeCell ref="AB55:AB56"/>
    <mergeCell ref="AA49:AA50"/>
    <mergeCell ref="AB49:AB50"/>
    <mergeCell ref="AA51:AA52"/>
    <mergeCell ref="AA53:AA54"/>
    <mergeCell ref="AB53:AB54"/>
    <mergeCell ref="Z55:Z56"/>
    <mergeCell ref="Z51:Z52"/>
    <mergeCell ref="Z53:Z54"/>
    <mergeCell ref="Z49:Z50"/>
    <mergeCell ref="AB51:AB52"/>
    <mergeCell ref="AK20:AK21"/>
    <mergeCell ref="X46:AB46"/>
    <mergeCell ref="AJ20:AJ21"/>
    <mergeCell ref="AL20:AL21"/>
    <mergeCell ref="X22:Z22"/>
    <mergeCell ref="AA22:AC22"/>
    <mergeCell ref="AD22:AF22"/>
    <mergeCell ref="AG22:AI22"/>
    <mergeCell ref="AJ22:AL22"/>
    <mergeCell ref="A81:A94"/>
    <mergeCell ref="B81:C82"/>
    <mergeCell ref="G81:H81"/>
    <mergeCell ref="AG73:AG74"/>
    <mergeCell ref="U61:U66"/>
    <mergeCell ref="A67:S67"/>
    <mergeCell ref="U49:U54"/>
    <mergeCell ref="A61:A66"/>
    <mergeCell ref="T61:T66"/>
    <mergeCell ref="X55:X56"/>
    <mergeCell ref="Y55:Y56"/>
    <mergeCell ref="U55:U60"/>
    <mergeCell ref="A55:A60"/>
    <mergeCell ref="T55:T60"/>
    <mergeCell ref="W51:W52"/>
    <mergeCell ref="X70:AI70"/>
    <mergeCell ref="X71:Z71"/>
    <mergeCell ref="AA71:AC71"/>
    <mergeCell ref="AD71:AF71"/>
    <mergeCell ref="AG71:AI71"/>
    <mergeCell ref="B73:B74"/>
    <mergeCell ref="A70:Q70"/>
    <mergeCell ref="Q71:Q72"/>
    <mergeCell ref="Q73:Q74"/>
    <mergeCell ref="W73:W74"/>
    <mergeCell ref="X73:X74"/>
    <mergeCell ref="Y73:Y74"/>
    <mergeCell ref="A71:A78"/>
    <mergeCell ref="B71:C72"/>
    <mergeCell ref="D71:E71"/>
    <mergeCell ref="F71:G71"/>
    <mergeCell ref="H71:I71"/>
    <mergeCell ref="J71:K71"/>
    <mergeCell ref="L71:M71"/>
    <mergeCell ref="O71:O72"/>
    <mergeCell ref="P71:P72"/>
    <mergeCell ref="B75:B76"/>
    <mergeCell ref="O75:O76"/>
    <mergeCell ref="P75:P76"/>
    <mergeCell ref="O73:O74"/>
    <mergeCell ref="P73:P74"/>
    <mergeCell ref="W75:W76"/>
    <mergeCell ref="B91:B94"/>
    <mergeCell ref="K91:L94"/>
    <mergeCell ref="O91:O94"/>
    <mergeCell ref="P91:Q94"/>
    <mergeCell ref="I81:J81"/>
    <mergeCell ref="K81:L82"/>
    <mergeCell ref="O81:O84"/>
    <mergeCell ref="P81:Q84"/>
    <mergeCell ref="AG77:AG78"/>
    <mergeCell ref="W79:W80"/>
    <mergeCell ref="X79:X80"/>
    <mergeCell ref="Y79:Y80"/>
    <mergeCell ref="Z79:Z80"/>
    <mergeCell ref="AA79:AA80"/>
    <mergeCell ref="AC79:AC80"/>
    <mergeCell ref="AB79:AB80"/>
    <mergeCell ref="AF79:AF80"/>
    <mergeCell ref="AD79:AD80"/>
    <mergeCell ref="AE79:AE80"/>
    <mergeCell ref="B77:B78"/>
    <mergeCell ref="O77:O78"/>
    <mergeCell ref="P77:P78"/>
    <mergeCell ref="Q77:Q78"/>
    <mergeCell ref="B83:B86"/>
    <mergeCell ref="AJ71:AL71"/>
    <mergeCell ref="AH73:AH74"/>
    <mergeCell ref="AJ73:AJ74"/>
    <mergeCell ref="AK73:AK74"/>
    <mergeCell ref="AE75:AE76"/>
    <mergeCell ref="AF75:AF76"/>
    <mergeCell ref="AG75:AG76"/>
    <mergeCell ref="Z75:Z76"/>
    <mergeCell ref="AF73:AF74"/>
    <mergeCell ref="AD73:AD74"/>
    <mergeCell ref="AE73:AE74"/>
    <mergeCell ref="AI73:AI74"/>
    <mergeCell ref="Z73:Z74"/>
    <mergeCell ref="AA73:AA74"/>
    <mergeCell ref="AC73:AC74"/>
    <mergeCell ref="AB73:AB74"/>
    <mergeCell ref="AA75:AA76"/>
    <mergeCell ref="AC75:AC76"/>
    <mergeCell ref="AB75:AB76"/>
    <mergeCell ref="AL73:AL74"/>
    <mergeCell ref="K83:L86"/>
    <mergeCell ref="O85:O87"/>
    <mergeCell ref="P85:Q87"/>
    <mergeCell ref="B87:B90"/>
    <mergeCell ref="K87:L90"/>
    <mergeCell ref="O88:O90"/>
    <mergeCell ref="P88:Q90"/>
    <mergeCell ref="AD75:AD76"/>
    <mergeCell ref="W77:W78"/>
    <mergeCell ref="X77:X78"/>
    <mergeCell ref="Y77:Y78"/>
    <mergeCell ref="Z77:Z78"/>
    <mergeCell ref="AA77:AA78"/>
    <mergeCell ref="AC77:AC78"/>
    <mergeCell ref="AB77:AB78"/>
    <mergeCell ref="X81:Z81"/>
    <mergeCell ref="AA81:AC81"/>
    <mergeCell ref="AD81:AF81"/>
    <mergeCell ref="AF77:AF78"/>
    <mergeCell ref="AD77:AD78"/>
    <mergeCell ref="AE77:AE78"/>
    <mergeCell ref="X75:X76"/>
    <mergeCell ref="Y75:Y76"/>
    <mergeCell ref="Q75:Q76"/>
    <mergeCell ref="AG81:AI81"/>
    <mergeCell ref="AJ81:AL81"/>
    <mergeCell ref="AJ75:AJ76"/>
    <mergeCell ref="AK75:AK76"/>
    <mergeCell ref="AL75:AL76"/>
    <mergeCell ref="AH77:AH78"/>
    <mergeCell ref="AI77:AI78"/>
    <mergeCell ref="AJ77:AJ78"/>
    <mergeCell ref="AK77:AK78"/>
    <mergeCell ref="AL77:AL78"/>
    <mergeCell ref="AH79:AH80"/>
    <mergeCell ref="AI79:AI80"/>
    <mergeCell ref="AJ79:AJ80"/>
    <mergeCell ref="AK79:AK80"/>
    <mergeCell ref="AL79:AL80"/>
    <mergeCell ref="AG79:AG80"/>
    <mergeCell ref="AH75:AH76"/>
    <mergeCell ref="AI75:AI76"/>
  </mergeCells>
  <phoneticPr fontId="3" type="noConversion"/>
  <conditionalFormatting sqref="C49:S49 C55:S55 C61:S61">
    <cfRule type="containsText" dxfId="11" priority="7" operator="containsText" text="全華">
      <formula>NOT(ISERROR(SEARCH("全華",C49)))</formula>
    </cfRule>
    <cfRule type="containsText" dxfId="10" priority="8" operator="containsText" text="奇鼎">
      <formula>NOT(ISERROR(SEARCH("奇鼎",C49)))</formula>
    </cfRule>
    <cfRule type="containsText" dxfId="9" priority="9" operator="containsText" text="佳音">
      <formula>NOT(ISERROR(SEARCH("佳音",C49)))</formula>
    </cfRule>
    <cfRule type="containsText" dxfId="8" priority="10" operator="containsText" text="南一">
      <formula>NOT(ISERROR(SEARCH("南一",C49)))</formula>
    </cfRule>
    <cfRule type="containsText" dxfId="7" priority="11" operator="containsText" text="翰林">
      <formula>NOT(ISERROR(SEARCH("翰林",C49)))</formula>
    </cfRule>
    <cfRule type="containsText" dxfId="6" priority="12" operator="containsText" text="康軒">
      <formula>NOT(ISERROR(SEARCH("康軒",C49)))</formula>
    </cfRule>
  </conditionalFormatting>
  <conditionalFormatting sqref="D13:M13 D15:M15 D17:M17 D23:J23 D27:J27 D31:J31 C49:S49 C55:S55 C61:S61 D73:M73 D75:M75 D77:M77 D83:J83 D87:J87 D91:J91">
    <cfRule type="containsText" dxfId="5" priority="1" operator="containsText" text="佳音">
      <formula>NOT(ISERROR(SEARCH("佳音",C13)))</formula>
    </cfRule>
    <cfRule type="containsText" dxfId="4" priority="2" operator="containsText" text="全華">
      <formula>NOT(ISERROR(SEARCH("全華",C13)))</formula>
    </cfRule>
    <cfRule type="containsText" dxfId="3" priority="3" operator="containsText" text="奇鼎">
      <formula>NOT(ISERROR(SEARCH("奇鼎",C13)))</formula>
    </cfRule>
    <cfRule type="containsText" dxfId="2" priority="4" operator="containsText" text="南一">
      <formula>NOT(ISERROR(SEARCH("南一",C13)))</formula>
    </cfRule>
    <cfRule type="containsText" dxfId="1" priority="5" operator="containsText" text="翰林">
      <formula>NOT(ISERROR(SEARCH("翰林",C13)))</formula>
    </cfRule>
    <cfRule type="containsText" dxfId="0" priority="6" operator="containsText" text="康軒">
      <formula>NOT(ISERROR(SEARCH("康軒",C13)))</formula>
    </cfRule>
  </conditionalFormatting>
  <dataValidations disablePrompts="1" count="1">
    <dataValidation type="list" allowBlank="1" showInputMessage="1" showErrorMessage="1" sqref="D17:M17 D31:J31 D23:J23 D13:M13 D15:M15 D27:J27 C55:S55 C49:S49 C61:S61 D75:M75 D87:J87 D77:M77 D83:J83 D73:M73 D91:J91" xr:uid="{00000000-0002-0000-0100-000000000000}">
      <formula1>版本</formula1>
    </dataValidation>
  </dataValidations>
  <printOptions horizontalCentered="1"/>
  <pageMargins left="0.11811023622047245" right="0.11811023622047245" top="0.15748031496062992" bottom="0" header="0.31496062992125984" footer="0.31496062992125984"/>
  <pageSetup paperSize="9" scale="6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8"/>
  <sheetViews>
    <sheetView topLeftCell="A23" zoomScale="90" zoomScaleNormal="90" workbookViewId="0">
      <selection activeCell="L31" sqref="L31"/>
    </sheetView>
  </sheetViews>
  <sheetFormatPr defaultColWidth="10.1640625" defaultRowHeight="16.5" x14ac:dyDescent="0.25"/>
  <cols>
    <col min="1" max="1" width="15" style="11" customWidth="1"/>
    <col min="2" max="2" width="18.83203125" style="11" customWidth="1"/>
    <col min="3" max="3" width="17.83203125" style="18" customWidth="1"/>
    <col min="4" max="4" width="11" style="11" customWidth="1"/>
    <col min="5" max="5" width="10" style="11" customWidth="1"/>
    <col min="6" max="6" width="11.33203125" style="11" customWidth="1"/>
    <col min="7" max="7" width="10.83203125" style="11" customWidth="1"/>
    <col min="8" max="8" width="12" style="11" customWidth="1"/>
    <col min="9" max="9" width="5.6640625" style="11" customWidth="1"/>
    <col min="10" max="10" width="5.5" style="11" customWidth="1"/>
    <col min="11" max="11" width="6.6640625" style="11" customWidth="1"/>
    <col min="12" max="12" width="14" style="11" customWidth="1"/>
    <col min="13" max="16384" width="10.1640625" style="11"/>
  </cols>
  <sheetData>
    <row r="1" spans="1:17" ht="21" x14ac:dyDescent="0.25">
      <c r="A1" s="539" t="s">
        <v>239</v>
      </c>
      <c r="B1" s="539"/>
      <c r="C1" s="539"/>
      <c r="D1" s="539"/>
      <c r="E1" s="539"/>
      <c r="F1" s="539"/>
      <c r="G1" s="539"/>
      <c r="H1" s="29"/>
      <c r="I1" s="29"/>
      <c r="J1" s="29"/>
      <c r="K1" s="29"/>
      <c r="L1" s="29"/>
    </row>
    <row r="2" spans="1:17" ht="27.75" x14ac:dyDescent="0.4">
      <c r="A2" s="540" t="s">
        <v>33</v>
      </c>
      <c r="B2" s="540"/>
      <c r="C2" s="540"/>
      <c r="D2" s="540"/>
      <c r="E2" s="540"/>
      <c r="F2" s="540"/>
      <c r="G2" s="540"/>
      <c r="H2" s="12"/>
      <c r="I2" s="12"/>
      <c r="J2" s="12"/>
      <c r="K2" s="12"/>
      <c r="L2" s="12"/>
    </row>
    <row r="3" spans="1:17" ht="32.65" customHeight="1" x14ac:dyDescent="0.3">
      <c r="A3" s="541" t="s">
        <v>34</v>
      </c>
      <c r="B3" s="543" t="s">
        <v>35</v>
      </c>
      <c r="C3" s="543" t="s">
        <v>36</v>
      </c>
      <c r="D3" s="545" t="s">
        <v>37</v>
      </c>
      <c r="E3" s="546"/>
      <c r="F3" s="541" t="s">
        <v>38</v>
      </c>
      <c r="G3" s="541"/>
      <c r="Q3" s="13"/>
    </row>
    <row r="4" spans="1:17" ht="22.5" customHeight="1" x14ac:dyDescent="0.25">
      <c r="A4" s="542"/>
      <c r="B4" s="544"/>
      <c r="C4" s="544"/>
      <c r="D4" s="30" t="s">
        <v>30</v>
      </c>
      <c r="E4" s="30" t="s">
        <v>31</v>
      </c>
      <c r="F4" s="31" t="s">
        <v>39</v>
      </c>
      <c r="G4" s="31" t="s">
        <v>40</v>
      </c>
    </row>
    <row r="5" spans="1:17" ht="28.9" customHeight="1" x14ac:dyDescent="0.25">
      <c r="A5" s="32"/>
      <c r="B5" s="33"/>
      <c r="C5" s="34"/>
      <c r="D5" s="33"/>
      <c r="E5" s="33"/>
      <c r="F5" s="33"/>
      <c r="G5" s="33"/>
      <c r="H5" s="14"/>
    </row>
    <row r="6" spans="1:17" ht="28.9" customHeight="1" x14ac:dyDescent="0.25">
      <c r="A6" s="32"/>
      <c r="B6" s="37"/>
      <c r="C6" s="34"/>
      <c r="D6" s="37"/>
      <c r="E6" s="37"/>
      <c r="F6" s="37"/>
      <c r="G6" s="37"/>
    </row>
    <row r="7" spans="1:17" ht="28.9" customHeight="1" x14ac:dyDescent="0.25">
      <c r="A7" s="32"/>
      <c r="B7" s="37"/>
      <c r="C7" s="34"/>
      <c r="D7" s="37"/>
      <c r="E7" s="37"/>
      <c r="F7" s="37"/>
      <c r="G7" s="37"/>
    </row>
    <row r="8" spans="1:17" ht="28.9" customHeight="1" x14ac:dyDescent="0.25">
      <c r="A8" s="32"/>
      <c r="B8" s="37"/>
      <c r="C8" s="34"/>
      <c r="D8" s="37"/>
      <c r="E8" s="37"/>
      <c r="F8" s="37"/>
      <c r="G8" s="37"/>
    </row>
    <row r="9" spans="1:17" ht="28.9" customHeight="1" x14ac:dyDescent="0.25">
      <c r="A9" s="32"/>
      <c r="B9" s="37"/>
      <c r="C9" s="34"/>
      <c r="D9" s="37"/>
      <c r="E9" s="37"/>
      <c r="F9" s="37"/>
      <c r="G9" s="37"/>
    </row>
    <row r="10" spans="1:17" ht="28.9" customHeight="1" x14ac:dyDescent="0.25">
      <c r="A10" s="32"/>
      <c r="B10" s="37"/>
      <c r="C10" s="34"/>
      <c r="D10" s="37"/>
      <c r="E10" s="37"/>
      <c r="F10" s="37"/>
      <c r="G10" s="37"/>
    </row>
    <row r="11" spans="1:17" ht="28.9" customHeight="1" x14ac:dyDescent="0.25">
      <c r="A11" s="32"/>
      <c r="B11" s="37"/>
      <c r="C11" s="34"/>
      <c r="D11" s="37"/>
      <c r="E11" s="37"/>
      <c r="F11" s="37"/>
      <c r="G11" s="37"/>
    </row>
    <row r="12" spans="1:17" ht="28.9" customHeight="1" x14ac:dyDescent="0.25">
      <c r="A12" s="32"/>
      <c r="B12" s="37"/>
      <c r="C12" s="34"/>
      <c r="D12" s="37"/>
      <c r="E12" s="37"/>
      <c r="F12" s="37"/>
      <c r="G12" s="37"/>
    </row>
    <row r="13" spans="1:17" ht="28.9" customHeight="1" x14ac:dyDescent="0.25">
      <c r="A13" s="32"/>
      <c r="B13" s="37"/>
      <c r="C13" s="34"/>
      <c r="D13" s="37"/>
      <c r="E13" s="37"/>
      <c r="F13" s="37"/>
      <c r="G13" s="37"/>
    </row>
    <row r="14" spans="1:17" ht="28.9" customHeight="1" x14ac:dyDescent="0.25">
      <c r="A14" s="32"/>
      <c r="B14" s="37"/>
      <c r="C14" s="34"/>
      <c r="D14" s="37"/>
      <c r="E14" s="37"/>
      <c r="F14" s="37"/>
      <c r="G14" s="37"/>
    </row>
    <row r="15" spans="1:17" ht="28.9" customHeight="1" x14ac:dyDescent="0.25">
      <c r="A15" s="32"/>
      <c r="B15" s="37"/>
      <c r="C15" s="34"/>
      <c r="D15" s="37"/>
      <c r="E15" s="37"/>
      <c r="F15" s="37"/>
      <c r="G15" s="37"/>
    </row>
    <row r="16" spans="1:17" ht="28.9" customHeight="1" x14ac:dyDescent="0.25">
      <c r="A16" s="32"/>
      <c r="B16" s="37"/>
      <c r="C16" s="34"/>
      <c r="D16" s="37"/>
      <c r="E16" s="37"/>
      <c r="F16" s="37"/>
      <c r="G16" s="37"/>
    </row>
    <row r="17" spans="1:7" ht="28.9" customHeight="1" x14ac:dyDescent="0.25">
      <c r="A17" s="32"/>
      <c r="B17" s="37"/>
      <c r="C17" s="34"/>
      <c r="D17" s="37"/>
      <c r="E17" s="37"/>
      <c r="F17" s="37"/>
      <c r="G17" s="37"/>
    </row>
    <row r="18" spans="1:7" ht="28.9" customHeight="1" x14ac:dyDescent="0.25">
      <c r="A18" s="32"/>
      <c r="B18" s="37"/>
      <c r="C18" s="34"/>
      <c r="D18" s="37"/>
      <c r="E18" s="37"/>
      <c r="F18" s="37"/>
      <c r="G18" s="37"/>
    </row>
    <row r="19" spans="1:7" ht="28.9" customHeight="1" x14ac:dyDescent="0.25">
      <c r="A19" s="32"/>
      <c r="B19" s="37"/>
      <c r="C19" s="34"/>
      <c r="D19" s="37"/>
      <c r="E19" s="37"/>
      <c r="F19" s="37"/>
      <c r="G19" s="37"/>
    </row>
    <row r="20" spans="1:7" ht="28.9" customHeight="1" x14ac:dyDescent="0.25">
      <c r="A20" s="32"/>
      <c r="B20" s="37"/>
      <c r="C20" s="34"/>
      <c r="D20" s="37"/>
      <c r="E20" s="37"/>
      <c r="F20" s="37"/>
      <c r="G20" s="37"/>
    </row>
    <row r="21" spans="1:7" ht="28.9" customHeight="1" x14ac:dyDescent="0.25">
      <c r="A21" s="32"/>
      <c r="B21" s="37"/>
      <c r="C21" s="34"/>
      <c r="D21" s="37"/>
      <c r="E21" s="37"/>
      <c r="F21" s="37"/>
      <c r="G21" s="37"/>
    </row>
    <row r="22" spans="1:7" ht="28.9" customHeight="1" x14ac:dyDescent="0.25">
      <c r="A22" s="32"/>
      <c r="B22" s="37"/>
      <c r="C22" s="34"/>
      <c r="D22" s="37"/>
      <c r="E22" s="37"/>
      <c r="F22" s="37"/>
      <c r="G22" s="37"/>
    </row>
    <row r="23" spans="1:7" ht="28.9" customHeight="1" x14ac:dyDescent="0.25">
      <c r="A23" s="32"/>
      <c r="B23" s="37"/>
      <c r="C23" s="34"/>
      <c r="D23" s="37"/>
      <c r="E23" s="37"/>
      <c r="F23" s="37"/>
      <c r="G23" s="37"/>
    </row>
    <row r="24" spans="1:7" ht="28.9" customHeight="1" x14ac:dyDescent="0.25">
      <c r="A24" s="32"/>
      <c r="B24" s="37"/>
      <c r="C24" s="34"/>
      <c r="D24" s="37"/>
      <c r="E24" s="37"/>
      <c r="F24" s="37"/>
      <c r="G24" s="37"/>
    </row>
    <row r="25" spans="1:7" ht="28.9" customHeight="1" x14ac:dyDescent="0.25">
      <c r="A25" s="32"/>
      <c r="B25" s="37"/>
      <c r="C25" s="34"/>
      <c r="D25" s="37"/>
      <c r="E25" s="37"/>
      <c r="F25" s="37"/>
      <c r="G25" s="37"/>
    </row>
    <row r="26" spans="1:7" ht="28.9" customHeight="1" x14ac:dyDescent="0.25">
      <c r="A26" s="32"/>
      <c r="B26" s="37"/>
      <c r="C26" s="34"/>
      <c r="D26" s="37"/>
      <c r="E26" s="37"/>
      <c r="F26" s="37"/>
      <c r="G26" s="37"/>
    </row>
    <row r="27" spans="1:7" ht="28.9" customHeight="1" x14ac:dyDescent="0.25">
      <c r="A27" s="32"/>
      <c r="B27" s="37"/>
      <c r="C27" s="34"/>
      <c r="D27" s="37"/>
      <c r="E27" s="37"/>
      <c r="F27" s="37"/>
      <c r="G27" s="37"/>
    </row>
    <row r="28" spans="1:7" ht="28.9" customHeight="1" x14ac:dyDescent="0.25">
      <c r="A28" s="32"/>
      <c r="B28" s="37"/>
      <c r="C28" s="34"/>
      <c r="D28" s="37"/>
      <c r="E28" s="37"/>
      <c r="F28" s="37"/>
      <c r="G28" s="37"/>
    </row>
    <row r="29" spans="1:7" ht="28.9" customHeight="1" x14ac:dyDescent="0.25">
      <c r="A29" s="32"/>
      <c r="B29" s="37"/>
      <c r="C29" s="34"/>
      <c r="D29" s="37"/>
      <c r="E29" s="37"/>
      <c r="F29" s="37"/>
      <c r="G29" s="37"/>
    </row>
    <row r="30" spans="1:7" ht="28.9" customHeight="1" x14ac:dyDescent="0.25">
      <c r="A30" s="32"/>
      <c r="B30" s="37"/>
      <c r="C30" s="34"/>
      <c r="D30" s="37"/>
      <c r="E30" s="37"/>
      <c r="F30" s="37"/>
      <c r="G30" s="37"/>
    </row>
    <row r="31" spans="1:7" ht="28.9" customHeight="1" x14ac:dyDescent="0.25">
      <c r="A31" s="32"/>
      <c r="B31" s="37"/>
      <c r="C31" s="34"/>
      <c r="D31" s="37"/>
      <c r="E31" s="37"/>
      <c r="F31" s="37"/>
      <c r="G31" s="37"/>
    </row>
    <row r="32" spans="1:7" ht="28.9" customHeight="1" x14ac:dyDescent="0.25">
      <c r="A32" s="32"/>
      <c r="B32" s="37"/>
      <c r="C32" s="34"/>
      <c r="D32" s="37"/>
      <c r="E32" s="37"/>
      <c r="F32" s="37"/>
      <c r="G32" s="37"/>
    </row>
    <row r="33" spans="1:12" ht="28.9" customHeight="1" x14ac:dyDescent="0.25">
      <c r="A33" s="38" t="s">
        <v>41</v>
      </c>
      <c r="B33" s="37"/>
      <c r="C33" s="34"/>
      <c r="D33" s="37"/>
      <c r="E33" s="37"/>
      <c r="F33" s="37"/>
      <c r="G33" s="37"/>
    </row>
    <row r="34" spans="1:12" ht="28.9" customHeight="1" x14ac:dyDescent="0.25">
      <c r="A34" s="531" t="s">
        <v>32</v>
      </c>
      <c r="B34" s="532"/>
      <c r="C34" s="533"/>
      <c r="D34" s="35">
        <f>SUM(D5:D33)</f>
        <v>0</v>
      </c>
      <c r="E34" s="35">
        <f>SUM(E5:E33)</f>
        <v>0</v>
      </c>
      <c r="F34" s="35">
        <f>SUM(F5:F33)</f>
        <v>0</v>
      </c>
      <c r="G34" s="35">
        <f>SUM(G5:G33)</f>
        <v>0</v>
      </c>
    </row>
    <row r="35" spans="1:12" ht="28.9" customHeight="1" x14ac:dyDescent="0.25">
      <c r="A35" s="534"/>
      <c r="B35" s="535"/>
      <c r="C35" s="536"/>
      <c r="D35" s="537">
        <f>SUM(D34:E34)</f>
        <v>0</v>
      </c>
      <c r="E35" s="538"/>
      <c r="F35" s="537">
        <f>SUM(F34:G34)</f>
        <v>0</v>
      </c>
      <c r="G35" s="538"/>
    </row>
    <row r="36" spans="1:12" ht="21" x14ac:dyDescent="0.25">
      <c r="A36" s="36" t="s">
        <v>42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 x14ac:dyDescent="0.25">
      <c r="A38" s="16"/>
      <c r="B38" s="16"/>
      <c r="C38" s="16"/>
      <c r="D38" s="16"/>
      <c r="E38" s="16"/>
      <c r="F38" s="16"/>
      <c r="G38" s="16"/>
      <c r="H38" s="17"/>
      <c r="I38" s="17"/>
      <c r="J38" s="17"/>
      <c r="K38" s="17"/>
      <c r="L38" s="17"/>
    </row>
  </sheetData>
  <sheetProtection formatCells="0" formatColumns="0" formatRows="0" insertColumns="0" insertRows="0" insertHyperlinks="0" deleteColumns="0" deleteRows="0" selectLockedCells="1" sort="0" autoFilter="0"/>
  <mergeCells count="10">
    <mergeCell ref="A34:C35"/>
    <mergeCell ref="D35:E35"/>
    <mergeCell ref="F35:G35"/>
    <mergeCell ref="A1:G1"/>
    <mergeCell ref="A2:G2"/>
    <mergeCell ref="A3:A4"/>
    <mergeCell ref="B3:B4"/>
    <mergeCell ref="C3:C4"/>
    <mergeCell ref="D3:E3"/>
    <mergeCell ref="F3:G3"/>
  </mergeCells>
  <phoneticPr fontId="3" type="noConversion"/>
  <pageMargins left="0.74803149606299213" right="0.6692913385826772" top="0.74803149606299213" bottom="0.98425196850393704" header="0.51181102362204722" footer="0.51181102362204722"/>
  <pageSetup paperSize="9" scale="7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4"/>
  <sheetViews>
    <sheetView workbookViewId="0">
      <selection activeCell="A51" sqref="A51:XFD54"/>
    </sheetView>
  </sheetViews>
  <sheetFormatPr defaultColWidth="9" defaultRowHeight="14.25" x14ac:dyDescent="0.25"/>
  <cols>
    <col min="1" max="1" width="4.1640625" style="22" customWidth="1"/>
    <col min="2" max="2" width="15.6640625" style="22" bestFit="1" customWidth="1"/>
    <col min="3" max="3" width="3.33203125" style="22" customWidth="1"/>
    <col min="4" max="4" width="3.1640625" style="22" customWidth="1"/>
    <col min="5" max="5" width="6.1640625" style="22" customWidth="1"/>
    <col min="6" max="6" width="7.33203125" style="22" bestFit="1" customWidth="1"/>
    <col min="7" max="8" width="8.1640625" style="22" customWidth="1"/>
    <col min="9" max="9" width="7.33203125" style="22" bestFit="1" customWidth="1"/>
    <col min="10" max="11" width="8.1640625" style="22" customWidth="1"/>
    <col min="12" max="12" width="7.33203125" style="22" bestFit="1" customWidth="1"/>
    <col min="13" max="14" width="8.1640625" style="22" customWidth="1"/>
    <col min="15" max="15" width="6.1640625" style="22" bestFit="1" customWidth="1"/>
    <col min="16" max="17" width="8.1640625" style="22" customWidth="1"/>
    <col min="18" max="18" width="6.1640625" style="22" bestFit="1" customWidth="1"/>
    <col min="19" max="20" width="8.1640625" style="22" customWidth="1"/>
    <col min="21" max="21" width="6.1640625" style="22" bestFit="1" customWidth="1"/>
    <col min="22" max="23" width="8.1640625" style="22" customWidth="1"/>
    <col min="24" max="16384" width="9" style="22"/>
  </cols>
  <sheetData>
    <row r="1" spans="1:24" s="19" customFormat="1" ht="25.15" customHeight="1" x14ac:dyDescent="0.25">
      <c r="A1" s="550" t="s">
        <v>240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20"/>
    </row>
    <row r="2" spans="1:24" ht="15.6" customHeight="1" x14ac:dyDescent="0.25">
      <c r="A2" s="551"/>
      <c r="B2" s="552"/>
      <c r="C2" s="552"/>
      <c r="D2" s="552"/>
      <c r="E2" s="553"/>
      <c r="F2" s="547" t="s">
        <v>1</v>
      </c>
      <c r="G2" s="548"/>
      <c r="H2" s="549"/>
      <c r="I2" s="547" t="s">
        <v>2</v>
      </c>
      <c r="J2" s="548"/>
      <c r="K2" s="549"/>
      <c r="L2" s="547" t="s">
        <v>3</v>
      </c>
      <c r="M2" s="548"/>
      <c r="N2" s="549"/>
      <c r="O2" s="547" t="s">
        <v>4</v>
      </c>
      <c r="P2" s="548"/>
      <c r="Q2" s="549"/>
      <c r="R2" s="547" t="s">
        <v>5</v>
      </c>
      <c r="S2" s="548"/>
      <c r="T2" s="549"/>
      <c r="U2" s="547" t="s">
        <v>6</v>
      </c>
      <c r="V2" s="548"/>
      <c r="W2" s="549"/>
    </row>
    <row r="3" spans="1:24" ht="66.400000000000006" customHeight="1" x14ac:dyDescent="0.25">
      <c r="A3" s="211" t="s">
        <v>43</v>
      </c>
      <c r="B3" s="211" t="s">
        <v>74</v>
      </c>
      <c r="C3" s="212" t="s">
        <v>231</v>
      </c>
      <c r="D3" s="211" t="s">
        <v>0</v>
      </c>
      <c r="E3" s="211" t="s">
        <v>24</v>
      </c>
      <c r="F3" s="213" t="s">
        <v>232</v>
      </c>
      <c r="G3" s="212" t="s">
        <v>45</v>
      </c>
      <c r="H3" s="212" t="s">
        <v>44</v>
      </c>
      <c r="I3" s="213" t="s">
        <v>232</v>
      </c>
      <c r="J3" s="212" t="s">
        <v>45</v>
      </c>
      <c r="K3" s="212" t="s">
        <v>44</v>
      </c>
      <c r="L3" s="213" t="s">
        <v>232</v>
      </c>
      <c r="M3" s="212" t="s">
        <v>45</v>
      </c>
      <c r="N3" s="212" t="s">
        <v>44</v>
      </c>
      <c r="O3" s="213" t="s">
        <v>232</v>
      </c>
      <c r="P3" s="212" t="s">
        <v>45</v>
      </c>
      <c r="Q3" s="212" t="s">
        <v>44</v>
      </c>
      <c r="R3" s="213" t="s">
        <v>232</v>
      </c>
      <c r="S3" s="212" t="s">
        <v>45</v>
      </c>
      <c r="T3" s="212" t="s">
        <v>44</v>
      </c>
      <c r="U3" s="213" t="s">
        <v>232</v>
      </c>
      <c r="V3" s="212" t="s">
        <v>45</v>
      </c>
      <c r="W3" s="212" t="s">
        <v>44</v>
      </c>
    </row>
    <row r="4" spans="1:24" ht="19.7" customHeight="1" x14ac:dyDescent="0.25">
      <c r="A4" s="214">
        <v>1</v>
      </c>
      <c r="B4" s="211" t="s">
        <v>15</v>
      </c>
      <c r="C4" s="214">
        <v>7</v>
      </c>
      <c r="D4" s="214"/>
      <c r="E4" s="211" t="s">
        <v>25</v>
      </c>
      <c r="F4" s="215"/>
      <c r="G4" s="214"/>
      <c r="H4" s="214"/>
      <c r="I4" s="215"/>
      <c r="J4" s="214"/>
      <c r="K4" s="214"/>
      <c r="L4" s="215"/>
      <c r="M4" s="214"/>
      <c r="N4" s="214"/>
      <c r="O4" s="216"/>
      <c r="P4" s="211"/>
      <c r="Q4" s="211"/>
      <c r="R4" s="216"/>
      <c r="S4" s="211"/>
      <c r="T4" s="211"/>
      <c r="U4" s="216"/>
      <c r="V4" s="211"/>
      <c r="W4" s="211"/>
    </row>
    <row r="5" spans="1:24" ht="19.7" customHeight="1" x14ac:dyDescent="0.25">
      <c r="A5" s="214">
        <v>2</v>
      </c>
      <c r="B5" s="211" t="s">
        <v>15</v>
      </c>
      <c r="C5" s="214">
        <v>7</v>
      </c>
      <c r="D5" s="214"/>
      <c r="E5" s="211" t="s">
        <v>26</v>
      </c>
      <c r="F5" s="215"/>
      <c r="G5" s="214"/>
      <c r="H5" s="214"/>
      <c r="I5" s="215"/>
      <c r="J5" s="214"/>
      <c r="K5" s="214"/>
      <c r="L5" s="215"/>
      <c r="M5" s="214"/>
      <c r="N5" s="214"/>
      <c r="O5" s="216"/>
      <c r="P5" s="211"/>
      <c r="Q5" s="211"/>
      <c r="R5" s="216"/>
      <c r="S5" s="211"/>
      <c r="T5" s="211"/>
      <c r="U5" s="216"/>
      <c r="V5" s="211"/>
      <c r="W5" s="211"/>
    </row>
    <row r="6" spans="1:24" ht="19.7" customHeight="1" x14ac:dyDescent="0.25">
      <c r="A6" s="214">
        <v>3</v>
      </c>
      <c r="B6" s="211" t="s">
        <v>16</v>
      </c>
      <c r="C6" s="214">
        <v>7</v>
      </c>
      <c r="D6" s="214"/>
      <c r="E6" s="211" t="s">
        <v>25</v>
      </c>
      <c r="F6" s="215"/>
      <c r="G6" s="214"/>
      <c r="H6" s="214"/>
      <c r="I6" s="215"/>
      <c r="J6" s="214"/>
      <c r="K6" s="214"/>
      <c r="L6" s="215"/>
      <c r="M6" s="214"/>
      <c r="N6" s="214"/>
      <c r="O6" s="216"/>
      <c r="P6" s="211"/>
      <c r="Q6" s="211"/>
      <c r="R6" s="216"/>
      <c r="S6" s="211"/>
      <c r="T6" s="211"/>
      <c r="U6" s="216"/>
      <c r="V6" s="211"/>
      <c r="W6" s="211"/>
    </row>
    <row r="7" spans="1:24" ht="19.7" customHeight="1" x14ac:dyDescent="0.25">
      <c r="A7" s="214">
        <v>4</v>
      </c>
      <c r="B7" s="211" t="s">
        <v>16</v>
      </c>
      <c r="C7" s="214">
        <v>7</v>
      </c>
      <c r="D7" s="214"/>
      <c r="E7" s="211" t="s">
        <v>26</v>
      </c>
      <c r="F7" s="215"/>
      <c r="G7" s="214"/>
      <c r="H7" s="214"/>
      <c r="I7" s="215"/>
      <c r="J7" s="214"/>
      <c r="K7" s="214"/>
      <c r="L7" s="215"/>
      <c r="M7" s="214"/>
      <c r="N7" s="214"/>
      <c r="O7" s="216"/>
      <c r="P7" s="211"/>
      <c r="Q7" s="211"/>
      <c r="R7" s="216"/>
      <c r="S7" s="211"/>
      <c r="T7" s="211"/>
      <c r="U7" s="216"/>
      <c r="V7" s="211"/>
      <c r="W7" s="211"/>
    </row>
    <row r="8" spans="1:24" ht="19.7" customHeight="1" x14ac:dyDescent="0.25">
      <c r="A8" s="214">
        <v>5</v>
      </c>
      <c r="B8" s="211" t="s">
        <v>18</v>
      </c>
      <c r="C8" s="214">
        <v>7</v>
      </c>
      <c r="D8" s="214"/>
      <c r="E8" s="211" t="s">
        <v>25</v>
      </c>
      <c r="F8" s="215"/>
      <c r="G8" s="214"/>
      <c r="H8" s="214"/>
      <c r="I8" s="215"/>
      <c r="J8" s="214"/>
      <c r="K8" s="214"/>
      <c r="L8" s="215"/>
      <c r="M8" s="214"/>
      <c r="N8" s="214"/>
      <c r="O8" s="216"/>
      <c r="P8" s="211"/>
      <c r="Q8" s="211"/>
      <c r="R8" s="216"/>
      <c r="S8" s="211"/>
      <c r="T8" s="211"/>
      <c r="U8" s="216"/>
      <c r="V8" s="211"/>
      <c r="W8" s="211"/>
    </row>
    <row r="9" spans="1:24" ht="19.7" customHeight="1" x14ac:dyDescent="0.25">
      <c r="A9" s="214">
        <v>6</v>
      </c>
      <c r="B9" s="211" t="s">
        <v>18</v>
      </c>
      <c r="C9" s="214">
        <v>7</v>
      </c>
      <c r="D9" s="214"/>
      <c r="E9" s="211" t="s">
        <v>26</v>
      </c>
      <c r="F9" s="215"/>
      <c r="G9" s="214"/>
      <c r="H9" s="214"/>
      <c r="I9" s="215"/>
      <c r="J9" s="214"/>
      <c r="K9" s="214"/>
      <c r="L9" s="215"/>
      <c r="M9" s="214"/>
      <c r="N9" s="214"/>
      <c r="O9" s="216"/>
      <c r="P9" s="211"/>
      <c r="Q9" s="211"/>
      <c r="R9" s="216"/>
      <c r="S9" s="211"/>
      <c r="T9" s="211"/>
      <c r="U9" s="216"/>
      <c r="V9" s="211"/>
      <c r="W9" s="211"/>
    </row>
    <row r="10" spans="1:24" ht="19.7" customHeight="1" x14ac:dyDescent="0.25">
      <c r="A10" s="214">
        <v>7</v>
      </c>
      <c r="B10" s="211" t="s">
        <v>17</v>
      </c>
      <c r="C10" s="214">
        <v>7</v>
      </c>
      <c r="D10" s="214"/>
      <c r="E10" s="211" t="s">
        <v>25</v>
      </c>
      <c r="F10" s="215"/>
      <c r="G10" s="214"/>
      <c r="H10" s="214"/>
      <c r="I10" s="215"/>
      <c r="J10" s="214"/>
      <c r="K10" s="214"/>
      <c r="L10" s="215"/>
      <c r="M10" s="214"/>
      <c r="N10" s="214"/>
      <c r="O10" s="216"/>
      <c r="P10" s="211"/>
      <c r="Q10" s="211"/>
      <c r="R10" s="216"/>
      <c r="S10" s="211"/>
      <c r="T10" s="211"/>
      <c r="U10" s="216"/>
      <c r="V10" s="211"/>
      <c r="W10" s="211"/>
    </row>
    <row r="11" spans="1:24" ht="19.7" customHeight="1" x14ac:dyDescent="0.25">
      <c r="A11" s="214">
        <v>8</v>
      </c>
      <c r="B11" s="211" t="s">
        <v>17</v>
      </c>
      <c r="C11" s="214">
        <v>7</v>
      </c>
      <c r="D11" s="214"/>
      <c r="E11" s="211" t="s">
        <v>26</v>
      </c>
      <c r="F11" s="215"/>
      <c r="G11" s="214"/>
      <c r="H11" s="214"/>
      <c r="I11" s="215"/>
      <c r="J11" s="214"/>
      <c r="K11" s="214"/>
      <c r="L11" s="215"/>
      <c r="M11" s="214"/>
      <c r="N11" s="214"/>
      <c r="O11" s="216"/>
      <c r="P11" s="211"/>
      <c r="Q11" s="211"/>
      <c r="R11" s="216"/>
      <c r="S11" s="211"/>
      <c r="T11" s="211"/>
      <c r="U11" s="216"/>
      <c r="V11" s="211"/>
      <c r="W11" s="211"/>
    </row>
    <row r="12" spans="1:24" ht="19.7" customHeight="1" x14ac:dyDescent="0.25">
      <c r="A12" s="214">
        <v>9</v>
      </c>
      <c r="B12" s="211" t="s">
        <v>19</v>
      </c>
      <c r="C12" s="214">
        <v>7</v>
      </c>
      <c r="D12" s="214"/>
      <c r="E12" s="211" t="s">
        <v>25</v>
      </c>
      <c r="F12" s="215"/>
      <c r="G12" s="214"/>
      <c r="H12" s="214"/>
      <c r="I12" s="215"/>
      <c r="J12" s="214"/>
      <c r="K12" s="214"/>
      <c r="L12" s="215"/>
      <c r="M12" s="214"/>
      <c r="N12" s="214"/>
      <c r="O12" s="216"/>
      <c r="P12" s="211"/>
      <c r="Q12" s="211"/>
      <c r="R12" s="215"/>
      <c r="S12" s="214"/>
      <c r="T12" s="214"/>
      <c r="U12" s="216"/>
      <c r="V12" s="211"/>
      <c r="W12" s="211"/>
    </row>
    <row r="13" spans="1:24" ht="19.7" customHeight="1" x14ac:dyDescent="0.25">
      <c r="A13" s="214">
        <v>10</v>
      </c>
      <c r="B13" s="211" t="s">
        <v>20</v>
      </c>
      <c r="C13" s="214">
        <v>7</v>
      </c>
      <c r="D13" s="214"/>
      <c r="E13" s="211" t="s">
        <v>25</v>
      </c>
      <c r="F13" s="215"/>
      <c r="G13" s="214"/>
      <c r="H13" s="214"/>
      <c r="I13" s="215"/>
      <c r="J13" s="214"/>
      <c r="K13" s="214"/>
      <c r="L13" s="215"/>
      <c r="M13" s="214"/>
      <c r="N13" s="214"/>
      <c r="O13" s="216"/>
      <c r="P13" s="211"/>
      <c r="Q13" s="211"/>
      <c r="R13" s="216"/>
      <c r="S13" s="211"/>
      <c r="T13" s="211"/>
      <c r="U13" s="216"/>
      <c r="V13" s="211"/>
      <c r="W13" s="211"/>
    </row>
    <row r="14" spans="1:24" ht="19.7" customHeight="1" x14ac:dyDescent="0.25">
      <c r="A14" s="214">
        <v>11</v>
      </c>
      <c r="B14" s="211" t="s">
        <v>22</v>
      </c>
      <c r="C14" s="214">
        <v>7</v>
      </c>
      <c r="D14" s="214"/>
      <c r="E14" s="211" t="s">
        <v>25</v>
      </c>
      <c r="F14" s="215"/>
      <c r="G14" s="214"/>
      <c r="H14" s="214"/>
      <c r="I14" s="216"/>
      <c r="J14" s="211"/>
      <c r="K14" s="211"/>
      <c r="L14" s="215"/>
      <c r="M14" s="214"/>
      <c r="N14" s="214"/>
      <c r="O14" s="215"/>
      <c r="P14" s="214"/>
      <c r="Q14" s="214"/>
      <c r="R14" s="216"/>
      <c r="S14" s="211"/>
      <c r="T14" s="211"/>
      <c r="U14" s="216"/>
      <c r="V14" s="211"/>
      <c r="W14" s="211"/>
    </row>
    <row r="15" spans="1:24" ht="19.7" customHeight="1" x14ac:dyDescent="0.25">
      <c r="A15" s="214">
        <v>12</v>
      </c>
      <c r="B15" s="211" t="s">
        <v>22</v>
      </c>
      <c r="C15" s="214">
        <v>7</v>
      </c>
      <c r="D15" s="214"/>
      <c r="E15" s="211" t="s">
        <v>26</v>
      </c>
      <c r="F15" s="215"/>
      <c r="G15" s="214"/>
      <c r="H15" s="214"/>
      <c r="I15" s="216"/>
      <c r="J15" s="211"/>
      <c r="K15" s="211"/>
      <c r="L15" s="215"/>
      <c r="M15" s="214"/>
      <c r="N15" s="214"/>
      <c r="O15" s="215"/>
      <c r="P15" s="214"/>
      <c r="Q15" s="214"/>
      <c r="R15" s="216"/>
      <c r="S15" s="211"/>
      <c r="T15" s="211"/>
      <c r="U15" s="216"/>
      <c r="V15" s="211"/>
      <c r="W15" s="211"/>
    </row>
    <row r="16" spans="1:24" ht="19.7" customHeight="1" x14ac:dyDescent="0.25">
      <c r="A16" s="214">
        <v>13</v>
      </c>
      <c r="B16" s="211" t="s">
        <v>21</v>
      </c>
      <c r="C16" s="214">
        <v>7</v>
      </c>
      <c r="D16" s="214"/>
      <c r="E16" s="211" t="s">
        <v>25</v>
      </c>
      <c r="F16" s="215"/>
      <c r="G16" s="214"/>
      <c r="H16" s="214"/>
      <c r="I16" s="215"/>
      <c r="J16" s="214"/>
      <c r="K16" s="214"/>
      <c r="L16" s="216"/>
      <c r="M16" s="211"/>
      <c r="N16" s="211"/>
      <c r="O16" s="216"/>
      <c r="P16" s="211"/>
      <c r="Q16" s="211"/>
      <c r="R16" s="215"/>
      <c r="S16" s="214"/>
      <c r="T16" s="214"/>
      <c r="U16" s="215"/>
      <c r="V16" s="214"/>
      <c r="W16" s="214"/>
    </row>
    <row r="17" spans="1:23" ht="19.7" customHeight="1" x14ac:dyDescent="0.25">
      <c r="A17" s="214">
        <v>14</v>
      </c>
      <c r="B17" s="211" t="s">
        <v>23</v>
      </c>
      <c r="C17" s="214">
        <v>7</v>
      </c>
      <c r="D17" s="214"/>
      <c r="E17" s="211" t="s">
        <v>25</v>
      </c>
      <c r="F17" s="216"/>
      <c r="G17" s="211"/>
      <c r="H17" s="211"/>
      <c r="I17" s="216"/>
      <c r="J17" s="211"/>
      <c r="K17" s="211"/>
      <c r="L17" s="216"/>
      <c r="M17" s="211"/>
      <c r="N17" s="211"/>
      <c r="O17" s="216"/>
      <c r="P17" s="211"/>
      <c r="Q17" s="211"/>
      <c r="R17" s="216"/>
      <c r="S17" s="211"/>
      <c r="T17" s="211"/>
      <c r="U17" s="215"/>
      <c r="V17" s="214"/>
      <c r="W17" s="214"/>
    </row>
    <row r="18" spans="1:23" ht="19.7" customHeight="1" x14ac:dyDescent="0.25">
      <c r="A18" s="214">
        <v>15</v>
      </c>
      <c r="B18" s="211" t="s">
        <v>23</v>
      </c>
      <c r="C18" s="214">
        <v>7</v>
      </c>
      <c r="D18" s="214"/>
      <c r="E18" s="211" t="s">
        <v>26</v>
      </c>
      <c r="F18" s="216"/>
      <c r="G18" s="211"/>
      <c r="H18" s="211"/>
      <c r="I18" s="216"/>
      <c r="J18" s="211"/>
      <c r="K18" s="211"/>
      <c r="L18" s="216"/>
      <c r="M18" s="211"/>
      <c r="N18" s="211"/>
      <c r="O18" s="216"/>
      <c r="P18" s="211"/>
      <c r="Q18" s="211"/>
      <c r="R18" s="216"/>
      <c r="S18" s="211"/>
      <c r="T18" s="211"/>
      <c r="U18" s="215"/>
      <c r="V18" s="214"/>
      <c r="W18" s="214"/>
    </row>
    <row r="19" spans="1:23" ht="19.7" customHeight="1" x14ac:dyDescent="0.25">
      <c r="A19" s="214">
        <v>16</v>
      </c>
      <c r="B19" s="211" t="s">
        <v>23</v>
      </c>
      <c r="C19" s="214">
        <v>7</v>
      </c>
      <c r="D19" s="214"/>
      <c r="E19" s="211" t="s">
        <v>25</v>
      </c>
      <c r="F19" s="215"/>
      <c r="G19" s="214"/>
      <c r="H19" s="214"/>
      <c r="I19" s="215"/>
      <c r="J19" s="214"/>
      <c r="K19" s="214"/>
      <c r="L19" s="215"/>
      <c r="M19" s="214"/>
      <c r="N19" s="214"/>
      <c r="O19" s="216"/>
      <c r="P19" s="211"/>
      <c r="Q19" s="211"/>
      <c r="R19" s="216"/>
      <c r="S19" s="211"/>
      <c r="T19" s="211"/>
      <c r="U19" s="215"/>
      <c r="V19" s="214"/>
      <c r="W19" s="214"/>
    </row>
    <row r="20" spans="1:23" ht="19.7" customHeight="1" x14ac:dyDescent="0.25">
      <c r="A20" s="214">
        <v>17</v>
      </c>
      <c r="B20" s="211" t="s">
        <v>23</v>
      </c>
      <c r="C20" s="214">
        <v>7</v>
      </c>
      <c r="D20" s="214"/>
      <c r="E20" s="211" t="s">
        <v>26</v>
      </c>
      <c r="F20" s="215"/>
      <c r="G20" s="214"/>
      <c r="H20" s="214"/>
      <c r="I20" s="215"/>
      <c r="J20" s="214"/>
      <c r="K20" s="214"/>
      <c r="L20" s="215"/>
      <c r="M20" s="214"/>
      <c r="N20" s="214"/>
      <c r="O20" s="216"/>
      <c r="P20" s="211"/>
      <c r="Q20" s="211"/>
      <c r="R20" s="216"/>
      <c r="S20" s="211"/>
      <c r="T20" s="211"/>
      <c r="U20" s="215"/>
      <c r="V20" s="214"/>
      <c r="W20" s="214"/>
    </row>
    <row r="21" spans="1:23" ht="19.7" customHeight="1" x14ac:dyDescent="0.25">
      <c r="A21" s="214">
        <v>18</v>
      </c>
      <c r="B21" s="211" t="s">
        <v>15</v>
      </c>
      <c r="C21" s="214">
        <v>8</v>
      </c>
      <c r="D21" s="214"/>
      <c r="E21" s="211" t="s">
        <v>25</v>
      </c>
      <c r="F21" s="215"/>
      <c r="G21" s="214"/>
      <c r="H21" s="214"/>
      <c r="I21" s="215"/>
      <c r="J21" s="214"/>
      <c r="K21" s="214"/>
      <c r="L21" s="215"/>
      <c r="M21" s="214"/>
      <c r="N21" s="214"/>
      <c r="O21" s="216"/>
      <c r="P21" s="211"/>
      <c r="Q21" s="211"/>
      <c r="R21" s="216"/>
      <c r="S21" s="211"/>
      <c r="T21" s="211"/>
      <c r="U21" s="216"/>
      <c r="V21" s="211"/>
      <c r="W21" s="211"/>
    </row>
    <row r="22" spans="1:23" ht="19.7" customHeight="1" x14ac:dyDescent="0.25">
      <c r="A22" s="214">
        <v>19</v>
      </c>
      <c r="B22" s="211" t="s">
        <v>15</v>
      </c>
      <c r="C22" s="214">
        <v>8</v>
      </c>
      <c r="D22" s="214"/>
      <c r="E22" s="211" t="s">
        <v>26</v>
      </c>
      <c r="F22" s="215"/>
      <c r="G22" s="214"/>
      <c r="H22" s="214"/>
      <c r="I22" s="215"/>
      <c r="J22" s="214"/>
      <c r="K22" s="214"/>
      <c r="L22" s="215"/>
      <c r="M22" s="214"/>
      <c r="N22" s="214"/>
      <c r="O22" s="216"/>
      <c r="P22" s="211"/>
      <c r="Q22" s="211"/>
      <c r="R22" s="216"/>
      <c r="S22" s="211"/>
      <c r="T22" s="211"/>
      <c r="U22" s="216"/>
      <c r="V22" s="211"/>
      <c r="W22" s="211"/>
    </row>
    <row r="23" spans="1:23" ht="19.7" customHeight="1" x14ac:dyDescent="0.25">
      <c r="A23" s="214">
        <v>20</v>
      </c>
      <c r="B23" s="211" t="s">
        <v>16</v>
      </c>
      <c r="C23" s="214">
        <v>8</v>
      </c>
      <c r="D23" s="214"/>
      <c r="E23" s="211" t="s">
        <v>25</v>
      </c>
      <c r="F23" s="215"/>
      <c r="G23" s="214"/>
      <c r="H23" s="214"/>
      <c r="I23" s="215"/>
      <c r="J23" s="214"/>
      <c r="K23" s="214"/>
      <c r="L23" s="215"/>
      <c r="M23" s="214"/>
      <c r="N23" s="214"/>
      <c r="O23" s="216"/>
      <c r="P23" s="211"/>
      <c r="Q23" s="211"/>
      <c r="R23" s="216"/>
      <c r="S23" s="211"/>
      <c r="T23" s="211"/>
      <c r="U23" s="216"/>
      <c r="V23" s="211"/>
      <c r="W23" s="211"/>
    </row>
    <row r="24" spans="1:23" ht="19.7" customHeight="1" x14ac:dyDescent="0.25">
      <c r="A24" s="214">
        <v>21</v>
      </c>
      <c r="B24" s="211" t="s">
        <v>16</v>
      </c>
      <c r="C24" s="214">
        <v>8</v>
      </c>
      <c r="D24" s="214"/>
      <c r="E24" s="211" t="s">
        <v>26</v>
      </c>
      <c r="F24" s="215"/>
      <c r="G24" s="214"/>
      <c r="H24" s="214"/>
      <c r="I24" s="215"/>
      <c r="J24" s="214"/>
      <c r="K24" s="214"/>
      <c r="L24" s="215"/>
      <c r="M24" s="214"/>
      <c r="N24" s="214"/>
      <c r="O24" s="216"/>
      <c r="P24" s="211"/>
      <c r="Q24" s="211"/>
      <c r="R24" s="216"/>
      <c r="S24" s="211"/>
      <c r="T24" s="211"/>
      <c r="U24" s="216"/>
      <c r="V24" s="211"/>
      <c r="W24" s="211"/>
    </row>
    <row r="25" spans="1:23" ht="19.7" customHeight="1" x14ac:dyDescent="0.25">
      <c r="A25" s="214">
        <v>22</v>
      </c>
      <c r="B25" s="211" t="s">
        <v>18</v>
      </c>
      <c r="C25" s="214">
        <v>8</v>
      </c>
      <c r="D25" s="214"/>
      <c r="E25" s="211" t="s">
        <v>25</v>
      </c>
      <c r="F25" s="215"/>
      <c r="G25" s="214"/>
      <c r="H25" s="214"/>
      <c r="I25" s="215"/>
      <c r="J25" s="214"/>
      <c r="K25" s="214"/>
      <c r="L25" s="215"/>
      <c r="M25" s="214"/>
      <c r="N25" s="214"/>
      <c r="O25" s="216"/>
      <c r="P25" s="211"/>
      <c r="Q25" s="211"/>
      <c r="R25" s="216"/>
      <c r="S25" s="211"/>
      <c r="T25" s="211"/>
      <c r="U25" s="216"/>
      <c r="V25" s="211"/>
      <c r="W25" s="211"/>
    </row>
    <row r="26" spans="1:23" ht="19.7" customHeight="1" x14ac:dyDescent="0.25">
      <c r="A26" s="214">
        <v>23</v>
      </c>
      <c r="B26" s="211" t="s">
        <v>18</v>
      </c>
      <c r="C26" s="214">
        <v>8</v>
      </c>
      <c r="D26" s="214"/>
      <c r="E26" s="211" t="s">
        <v>26</v>
      </c>
      <c r="F26" s="215"/>
      <c r="G26" s="214"/>
      <c r="H26" s="214"/>
      <c r="I26" s="215"/>
      <c r="J26" s="214"/>
      <c r="K26" s="214"/>
      <c r="L26" s="215"/>
      <c r="M26" s="214"/>
      <c r="N26" s="214"/>
      <c r="O26" s="216"/>
      <c r="P26" s="211"/>
      <c r="Q26" s="211"/>
      <c r="R26" s="216"/>
      <c r="S26" s="211"/>
      <c r="T26" s="211"/>
      <c r="U26" s="216"/>
      <c r="V26" s="211"/>
      <c r="W26" s="211"/>
    </row>
    <row r="27" spans="1:23" ht="19.7" customHeight="1" x14ac:dyDescent="0.25">
      <c r="A27" s="214">
        <v>24</v>
      </c>
      <c r="B27" s="211" t="s">
        <v>17</v>
      </c>
      <c r="C27" s="214">
        <v>8</v>
      </c>
      <c r="D27" s="214"/>
      <c r="E27" s="211" t="s">
        <v>25</v>
      </c>
      <c r="F27" s="215"/>
      <c r="G27" s="214"/>
      <c r="H27" s="214"/>
      <c r="I27" s="215"/>
      <c r="J27" s="214"/>
      <c r="K27" s="214"/>
      <c r="L27" s="215"/>
      <c r="M27" s="214"/>
      <c r="N27" s="214"/>
      <c r="O27" s="216"/>
      <c r="P27" s="211"/>
      <c r="Q27" s="211"/>
      <c r="R27" s="216"/>
      <c r="S27" s="211"/>
      <c r="T27" s="211"/>
      <c r="U27" s="216"/>
      <c r="V27" s="211"/>
      <c r="W27" s="211"/>
    </row>
    <row r="28" spans="1:23" ht="19.7" customHeight="1" x14ac:dyDescent="0.25">
      <c r="A28" s="214">
        <v>25</v>
      </c>
      <c r="B28" s="211" t="s">
        <v>17</v>
      </c>
      <c r="C28" s="214">
        <v>8</v>
      </c>
      <c r="D28" s="214"/>
      <c r="E28" s="211" t="s">
        <v>26</v>
      </c>
      <c r="F28" s="215"/>
      <c r="G28" s="214"/>
      <c r="H28" s="214"/>
      <c r="I28" s="215"/>
      <c r="J28" s="214"/>
      <c r="K28" s="214"/>
      <c r="L28" s="215"/>
      <c r="M28" s="214"/>
      <c r="N28" s="214"/>
      <c r="O28" s="216"/>
      <c r="P28" s="211"/>
      <c r="Q28" s="211"/>
      <c r="R28" s="216"/>
      <c r="S28" s="211"/>
      <c r="T28" s="211"/>
      <c r="U28" s="216"/>
      <c r="V28" s="211"/>
      <c r="W28" s="211"/>
    </row>
    <row r="29" spans="1:23" ht="19.7" customHeight="1" x14ac:dyDescent="0.25">
      <c r="A29" s="214">
        <v>26</v>
      </c>
      <c r="B29" s="211" t="s">
        <v>19</v>
      </c>
      <c r="C29" s="214">
        <v>8</v>
      </c>
      <c r="D29" s="214"/>
      <c r="E29" s="211" t="s">
        <v>25</v>
      </c>
      <c r="F29" s="215"/>
      <c r="G29" s="214"/>
      <c r="H29" s="214"/>
      <c r="I29" s="215"/>
      <c r="J29" s="214"/>
      <c r="K29" s="214"/>
      <c r="L29" s="215"/>
      <c r="M29" s="214"/>
      <c r="N29" s="214"/>
      <c r="O29" s="216"/>
      <c r="P29" s="211"/>
      <c r="Q29" s="211"/>
      <c r="R29" s="215"/>
      <c r="S29" s="214"/>
      <c r="T29" s="214"/>
      <c r="U29" s="216"/>
      <c r="V29" s="211"/>
      <c r="W29" s="211"/>
    </row>
    <row r="30" spans="1:23" ht="19.7" customHeight="1" x14ac:dyDescent="0.25">
      <c r="A30" s="214">
        <v>27</v>
      </c>
      <c r="B30" s="211" t="s">
        <v>20</v>
      </c>
      <c r="C30" s="214">
        <v>8</v>
      </c>
      <c r="D30" s="214"/>
      <c r="E30" s="211" t="s">
        <v>25</v>
      </c>
      <c r="F30" s="215"/>
      <c r="G30" s="214"/>
      <c r="H30" s="214"/>
      <c r="I30" s="215"/>
      <c r="J30" s="214"/>
      <c r="K30" s="214"/>
      <c r="L30" s="215"/>
      <c r="M30" s="214"/>
      <c r="N30" s="214"/>
      <c r="O30" s="216"/>
      <c r="P30" s="211"/>
      <c r="Q30" s="211"/>
      <c r="R30" s="216"/>
      <c r="S30" s="211"/>
      <c r="T30" s="211"/>
      <c r="U30" s="216"/>
      <c r="V30" s="211"/>
      <c r="W30" s="211"/>
    </row>
    <row r="31" spans="1:23" ht="19.7" customHeight="1" x14ac:dyDescent="0.25">
      <c r="A31" s="214">
        <v>28</v>
      </c>
      <c r="B31" s="211" t="s">
        <v>22</v>
      </c>
      <c r="C31" s="214">
        <v>8</v>
      </c>
      <c r="D31" s="214"/>
      <c r="E31" s="211" t="s">
        <v>25</v>
      </c>
      <c r="F31" s="215"/>
      <c r="G31" s="214"/>
      <c r="H31" s="214"/>
      <c r="I31" s="216"/>
      <c r="J31" s="211"/>
      <c r="K31" s="211"/>
      <c r="L31" s="215"/>
      <c r="M31" s="214"/>
      <c r="N31" s="214"/>
      <c r="O31" s="215"/>
      <c r="P31" s="214"/>
      <c r="Q31" s="214"/>
      <c r="R31" s="216"/>
      <c r="S31" s="211"/>
      <c r="T31" s="211"/>
      <c r="U31" s="216"/>
      <c r="V31" s="211"/>
      <c r="W31" s="211"/>
    </row>
    <row r="32" spans="1:23" ht="19.7" customHeight="1" x14ac:dyDescent="0.25">
      <c r="A32" s="214">
        <v>29</v>
      </c>
      <c r="B32" s="211" t="s">
        <v>22</v>
      </c>
      <c r="C32" s="214">
        <v>8</v>
      </c>
      <c r="D32" s="214"/>
      <c r="E32" s="211" t="s">
        <v>26</v>
      </c>
      <c r="F32" s="215"/>
      <c r="G32" s="214"/>
      <c r="H32" s="214"/>
      <c r="I32" s="216"/>
      <c r="J32" s="211"/>
      <c r="K32" s="211"/>
      <c r="L32" s="215"/>
      <c r="M32" s="214"/>
      <c r="N32" s="214"/>
      <c r="O32" s="215"/>
      <c r="P32" s="214"/>
      <c r="Q32" s="214"/>
      <c r="R32" s="216"/>
      <c r="S32" s="211"/>
      <c r="T32" s="211"/>
      <c r="U32" s="216"/>
      <c r="V32" s="211"/>
      <c r="W32" s="211"/>
    </row>
    <row r="33" spans="1:23" ht="19.7" customHeight="1" x14ac:dyDescent="0.25">
      <c r="A33" s="214">
        <v>30</v>
      </c>
      <c r="B33" s="211" t="s">
        <v>21</v>
      </c>
      <c r="C33" s="214">
        <v>8</v>
      </c>
      <c r="D33" s="214"/>
      <c r="E33" s="211" t="s">
        <v>25</v>
      </c>
      <c r="F33" s="215"/>
      <c r="G33" s="214"/>
      <c r="H33" s="214"/>
      <c r="I33" s="215"/>
      <c r="J33" s="214"/>
      <c r="K33" s="214"/>
      <c r="L33" s="216"/>
      <c r="M33" s="211"/>
      <c r="N33" s="211"/>
      <c r="O33" s="216"/>
      <c r="P33" s="211"/>
      <c r="Q33" s="211"/>
      <c r="R33" s="215"/>
      <c r="S33" s="214"/>
      <c r="T33" s="214"/>
      <c r="U33" s="215"/>
      <c r="V33" s="214"/>
      <c r="W33" s="214"/>
    </row>
    <row r="34" spans="1:23" ht="19.7" customHeight="1" x14ac:dyDescent="0.25">
      <c r="A34" s="214">
        <v>31</v>
      </c>
      <c r="B34" s="211" t="s">
        <v>23</v>
      </c>
      <c r="C34" s="214">
        <v>8</v>
      </c>
      <c r="D34" s="214"/>
      <c r="E34" s="211" t="s">
        <v>25</v>
      </c>
      <c r="F34" s="216"/>
      <c r="G34" s="211"/>
      <c r="H34" s="211"/>
      <c r="I34" s="216"/>
      <c r="J34" s="211"/>
      <c r="K34" s="211"/>
      <c r="L34" s="216"/>
      <c r="M34" s="211"/>
      <c r="N34" s="211"/>
      <c r="O34" s="216"/>
      <c r="P34" s="211"/>
      <c r="Q34" s="211"/>
      <c r="R34" s="216"/>
      <c r="S34" s="211"/>
      <c r="T34" s="211"/>
      <c r="U34" s="215"/>
      <c r="V34" s="214"/>
      <c r="W34" s="214"/>
    </row>
    <row r="35" spans="1:23" ht="19.7" customHeight="1" x14ac:dyDescent="0.25">
      <c r="A35" s="214">
        <v>32</v>
      </c>
      <c r="B35" s="211" t="s">
        <v>23</v>
      </c>
      <c r="C35" s="214">
        <v>8</v>
      </c>
      <c r="D35" s="214"/>
      <c r="E35" s="211" t="s">
        <v>26</v>
      </c>
      <c r="F35" s="216"/>
      <c r="G35" s="211"/>
      <c r="H35" s="211"/>
      <c r="I35" s="216"/>
      <c r="J35" s="211"/>
      <c r="K35" s="211"/>
      <c r="L35" s="216"/>
      <c r="M35" s="211"/>
      <c r="N35" s="211"/>
      <c r="O35" s="216"/>
      <c r="P35" s="211"/>
      <c r="Q35" s="211"/>
      <c r="R35" s="216"/>
      <c r="S35" s="211"/>
      <c r="T35" s="211"/>
      <c r="U35" s="215"/>
      <c r="V35" s="214"/>
      <c r="W35" s="214"/>
    </row>
    <row r="36" spans="1:23" ht="19.7" customHeight="1" x14ac:dyDescent="0.25">
      <c r="A36" s="214">
        <v>33</v>
      </c>
      <c r="B36" s="211" t="s">
        <v>23</v>
      </c>
      <c r="C36" s="214">
        <v>8</v>
      </c>
      <c r="D36" s="214"/>
      <c r="E36" s="211" t="s">
        <v>25</v>
      </c>
      <c r="F36" s="215"/>
      <c r="G36" s="214"/>
      <c r="H36" s="214"/>
      <c r="I36" s="215"/>
      <c r="J36" s="214"/>
      <c r="K36" s="214"/>
      <c r="L36" s="215"/>
      <c r="M36" s="214"/>
      <c r="N36" s="214"/>
      <c r="O36" s="216"/>
      <c r="P36" s="211"/>
      <c r="Q36" s="211"/>
      <c r="R36" s="216"/>
      <c r="S36" s="211"/>
      <c r="T36" s="211"/>
      <c r="U36" s="215"/>
      <c r="V36" s="214"/>
      <c r="W36" s="214"/>
    </row>
    <row r="37" spans="1:23" ht="19.7" customHeight="1" x14ac:dyDescent="0.25">
      <c r="A37" s="214">
        <v>34</v>
      </c>
      <c r="B37" s="211" t="s">
        <v>23</v>
      </c>
      <c r="C37" s="214">
        <v>8</v>
      </c>
      <c r="D37" s="214"/>
      <c r="E37" s="211" t="s">
        <v>26</v>
      </c>
      <c r="F37" s="215"/>
      <c r="G37" s="214"/>
      <c r="H37" s="214"/>
      <c r="I37" s="215"/>
      <c r="J37" s="214"/>
      <c r="K37" s="214"/>
      <c r="L37" s="215"/>
      <c r="M37" s="214"/>
      <c r="N37" s="214"/>
      <c r="O37" s="216"/>
      <c r="P37" s="211"/>
      <c r="Q37" s="211"/>
      <c r="R37" s="216"/>
      <c r="S37" s="211"/>
      <c r="T37" s="211"/>
      <c r="U37" s="215"/>
      <c r="V37" s="214"/>
      <c r="W37" s="214"/>
    </row>
    <row r="38" spans="1:23" ht="19.7" customHeight="1" x14ac:dyDescent="0.25">
      <c r="A38" s="214">
        <v>35</v>
      </c>
      <c r="B38" s="211" t="s">
        <v>15</v>
      </c>
      <c r="C38" s="214">
        <v>9</v>
      </c>
      <c r="D38" s="214"/>
      <c r="E38" s="211" t="s">
        <v>25</v>
      </c>
      <c r="F38" s="215"/>
      <c r="G38" s="214"/>
      <c r="H38" s="214"/>
      <c r="I38" s="215"/>
      <c r="J38" s="214"/>
      <c r="K38" s="214"/>
      <c r="L38" s="215"/>
      <c r="M38" s="214"/>
      <c r="N38" s="214"/>
      <c r="O38" s="216"/>
      <c r="P38" s="211"/>
      <c r="Q38" s="211"/>
      <c r="R38" s="216"/>
      <c r="S38" s="211"/>
      <c r="T38" s="211"/>
      <c r="U38" s="216"/>
      <c r="V38" s="211"/>
      <c r="W38" s="211"/>
    </row>
    <row r="39" spans="1:23" ht="19.7" customHeight="1" x14ac:dyDescent="0.25">
      <c r="A39" s="214">
        <v>36</v>
      </c>
      <c r="B39" s="211" t="s">
        <v>15</v>
      </c>
      <c r="C39" s="214">
        <v>9</v>
      </c>
      <c r="D39" s="214"/>
      <c r="E39" s="211" t="s">
        <v>26</v>
      </c>
      <c r="F39" s="215"/>
      <c r="G39" s="214"/>
      <c r="H39" s="214"/>
      <c r="I39" s="215"/>
      <c r="J39" s="214"/>
      <c r="K39" s="214"/>
      <c r="L39" s="215"/>
      <c r="M39" s="214"/>
      <c r="N39" s="214"/>
      <c r="O39" s="216"/>
      <c r="P39" s="211"/>
      <c r="Q39" s="211"/>
      <c r="R39" s="216"/>
      <c r="S39" s="211"/>
      <c r="T39" s="211"/>
      <c r="U39" s="216"/>
      <c r="V39" s="211"/>
      <c r="W39" s="211"/>
    </row>
    <row r="40" spans="1:23" ht="19.7" customHeight="1" x14ac:dyDescent="0.25">
      <c r="A40" s="214">
        <v>37</v>
      </c>
      <c r="B40" s="211" t="s">
        <v>16</v>
      </c>
      <c r="C40" s="214">
        <v>9</v>
      </c>
      <c r="D40" s="214"/>
      <c r="E40" s="211" t="s">
        <v>25</v>
      </c>
      <c r="F40" s="215"/>
      <c r="G40" s="214"/>
      <c r="H40" s="214"/>
      <c r="I40" s="215"/>
      <c r="J40" s="214"/>
      <c r="K40" s="214"/>
      <c r="L40" s="215"/>
      <c r="M40" s="214"/>
      <c r="N40" s="214"/>
      <c r="O40" s="216"/>
      <c r="P40" s="211"/>
      <c r="Q40" s="211"/>
      <c r="R40" s="216"/>
      <c r="S40" s="211"/>
      <c r="T40" s="211"/>
      <c r="U40" s="216"/>
      <c r="V40" s="211"/>
      <c r="W40" s="211"/>
    </row>
    <row r="41" spans="1:23" ht="19.7" customHeight="1" x14ac:dyDescent="0.25">
      <c r="A41" s="214">
        <v>38</v>
      </c>
      <c r="B41" s="211" t="s">
        <v>16</v>
      </c>
      <c r="C41" s="214">
        <v>9</v>
      </c>
      <c r="D41" s="214"/>
      <c r="E41" s="211" t="s">
        <v>26</v>
      </c>
      <c r="F41" s="215"/>
      <c r="G41" s="214"/>
      <c r="H41" s="214"/>
      <c r="I41" s="215"/>
      <c r="J41" s="214"/>
      <c r="K41" s="214"/>
      <c r="L41" s="215"/>
      <c r="M41" s="214"/>
      <c r="N41" s="214"/>
      <c r="O41" s="216"/>
      <c r="P41" s="211"/>
      <c r="Q41" s="211"/>
      <c r="R41" s="216"/>
      <c r="S41" s="211"/>
      <c r="T41" s="211"/>
      <c r="U41" s="216"/>
      <c r="V41" s="211"/>
      <c r="W41" s="211"/>
    </row>
    <row r="42" spans="1:23" ht="19.7" customHeight="1" x14ac:dyDescent="0.25">
      <c r="A42" s="214">
        <v>39</v>
      </c>
      <c r="B42" s="211" t="s">
        <v>18</v>
      </c>
      <c r="C42" s="214">
        <v>9</v>
      </c>
      <c r="D42" s="214"/>
      <c r="E42" s="211" t="s">
        <v>25</v>
      </c>
      <c r="F42" s="215"/>
      <c r="G42" s="214"/>
      <c r="H42" s="214"/>
      <c r="I42" s="215"/>
      <c r="J42" s="214"/>
      <c r="K42" s="214"/>
      <c r="L42" s="215"/>
      <c r="M42" s="214"/>
      <c r="N42" s="214"/>
      <c r="O42" s="216"/>
      <c r="P42" s="211"/>
      <c r="Q42" s="211"/>
      <c r="R42" s="216"/>
      <c r="S42" s="211"/>
      <c r="T42" s="211"/>
      <c r="U42" s="216"/>
      <c r="V42" s="211"/>
      <c r="W42" s="211"/>
    </row>
    <row r="43" spans="1:23" ht="19.7" customHeight="1" x14ac:dyDescent="0.25">
      <c r="A43" s="214">
        <v>40</v>
      </c>
      <c r="B43" s="211" t="s">
        <v>18</v>
      </c>
      <c r="C43" s="214">
        <v>9</v>
      </c>
      <c r="D43" s="214"/>
      <c r="E43" s="211" t="s">
        <v>26</v>
      </c>
      <c r="F43" s="215"/>
      <c r="G43" s="214"/>
      <c r="H43" s="214"/>
      <c r="I43" s="215"/>
      <c r="J43" s="214"/>
      <c r="K43" s="214"/>
      <c r="L43" s="215"/>
      <c r="M43" s="214"/>
      <c r="N43" s="214"/>
      <c r="O43" s="216"/>
      <c r="P43" s="211"/>
      <c r="Q43" s="211"/>
      <c r="R43" s="216"/>
      <c r="S43" s="211"/>
      <c r="T43" s="211"/>
      <c r="U43" s="216"/>
      <c r="V43" s="211"/>
      <c r="W43" s="211"/>
    </row>
    <row r="44" spans="1:23" ht="19.7" customHeight="1" x14ac:dyDescent="0.25">
      <c r="A44" s="214">
        <v>41</v>
      </c>
      <c r="B44" s="211" t="s">
        <v>17</v>
      </c>
      <c r="C44" s="214">
        <v>9</v>
      </c>
      <c r="D44" s="214"/>
      <c r="E44" s="211" t="s">
        <v>25</v>
      </c>
      <c r="F44" s="215"/>
      <c r="G44" s="214"/>
      <c r="H44" s="214"/>
      <c r="I44" s="215"/>
      <c r="J44" s="214"/>
      <c r="K44" s="214"/>
      <c r="L44" s="215"/>
      <c r="M44" s="214"/>
      <c r="N44" s="214"/>
      <c r="O44" s="216"/>
      <c r="P44" s="211"/>
      <c r="Q44" s="211"/>
      <c r="R44" s="216"/>
      <c r="S44" s="211"/>
      <c r="T44" s="211"/>
      <c r="U44" s="216"/>
      <c r="V44" s="211"/>
      <c r="W44" s="211"/>
    </row>
    <row r="45" spans="1:23" ht="19.7" customHeight="1" x14ac:dyDescent="0.25">
      <c r="A45" s="214">
        <v>42</v>
      </c>
      <c r="B45" s="211" t="s">
        <v>17</v>
      </c>
      <c r="C45" s="214">
        <v>9</v>
      </c>
      <c r="D45" s="214"/>
      <c r="E45" s="211" t="s">
        <v>26</v>
      </c>
      <c r="F45" s="215"/>
      <c r="G45" s="214"/>
      <c r="H45" s="214"/>
      <c r="I45" s="215"/>
      <c r="J45" s="214"/>
      <c r="K45" s="214"/>
      <c r="L45" s="215"/>
      <c r="M45" s="214"/>
      <c r="N45" s="214"/>
      <c r="O45" s="216"/>
      <c r="P45" s="211"/>
      <c r="Q45" s="211"/>
      <c r="R45" s="216"/>
      <c r="S45" s="211"/>
      <c r="T45" s="211"/>
      <c r="U45" s="216"/>
      <c r="V45" s="211"/>
      <c r="W45" s="211"/>
    </row>
    <row r="46" spans="1:23" ht="19.7" customHeight="1" x14ac:dyDescent="0.25">
      <c r="A46" s="214">
        <v>43</v>
      </c>
      <c r="B46" s="211" t="s">
        <v>19</v>
      </c>
      <c r="C46" s="214">
        <v>9</v>
      </c>
      <c r="D46" s="214"/>
      <c r="E46" s="211" t="s">
        <v>25</v>
      </c>
      <c r="F46" s="215"/>
      <c r="G46" s="214"/>
      <c r="H46" s="214"/>
      <c r="I46" s="215"/>
      <c r="J46" s="214"/>
      <c r="K46" s="214"/>
      <c r="L46" s="215"/>
      <c r="M46" s="214"/>
      <c r="N46" s="214"/>
      <c r="O46" s="216"/>
      <c r="P46" s="211"/>
      <c r="Q46" s="211"/>
      <c r="R46" s="215"/>
      <c r="S46" s="214"/>
      <c r="T46" s="214"/>
      <c r="U46" s="216"/>
      <c r="V46" s="211"/>
      <c r="W46" s="211"/>
    </row>
    <row r="47" spans="1:23" ht="19.7" customHeight="1" x14ac:dyDescent="0.25">
      <c r="A47" s="214">
        <v>44</v>
      </c>
      <c r="B47" s="211" t="s">
        <v>20</v>
      </c>
      <c r="C47" s="214">
        <v>9</v>
      </c>
      <c r="D47" s="214"/>
      <c r="E47" s="211" t="s">
        <v>25</v>
      </c>
      <c r="F47" s="215"/>
      <c r="G47" s="214"/>
      <c r="H47" s="214"/>
      <c r="I47" s="215"/>
      <c r="J47" s="214"/>
      <c r="K47" s="214"/>
      <c r="L47" s="215"/>
      <c r="M47" s="214"/>
      <c r="N47" s="214"/>
      <c r="O47" s="216"/>
      <c r="P47" s="211"/>
      <c r="Q47" s="211"/>
      <c r="R47" s="216"/>
      <c r="S47" s="211"/>
      <c r="T47" s="211"/>
      <c r="U47" s="216"/>
      <c r="V47" s="211"/>
      <c r="W47" s="211"/>
    </row>
    <row r="48" spans="1:23" ht="19.7" customHeight="1" x14ac:dyDescent="0.25">
      <c r="A48" s="214">
        <v>45</v>
      </c>
      <c r="B48" s="211" t="s">
        <v>22</v>
      </c>
      <c r="C48" s="214">
        <v>9</v>
      </c>
      <c r="D48" s="214"/>
      <c r="E48" s="211" t="s">
        <v>25</v>
      </c>
      <c r="F48" s="215"/>
      <c r="G48" s="214"/>
      <c r="H48" s="214"/>
      <c r="I48" s="216"/>
      <c r="J48" s="211"/>
      <c r="K48" s="211"/>
      <c r="L48" s="215"/>
      <c r="M48" s="214"/>
      <c r="N48" s="214"/>
      <c r="O48" s="215"/>
      <c r="P48" s="214"/>
      <c r="Q48" s="214"/>
      <c r="R48" s="216"/>
      <c r="S48" s="211"/>
      <c r="T48" s="211"/>
      <c r="U48" s="216"/>
      <c r="V48" s="211"/>
      <c r="W48" s="211"/>
    </row>
    <row r="49" spans="1:23" ht="19.7" customHeight="1" x14ac:dyDescent="0.25">
      <c r="A49" s="214">
        <v>46</v>
      </c>
      <c r="B49" s="211" t="s">
        <v>22</v>
      </c>
      <c r="C49" s="214">
        <v>9</v>
      </c>
      <c r="D49" s="214"/>
      <c r="E49" s="211" t="s">
        <v>26</v>
      </c>
      <c r="F49" s="215"/>
      <c r="G49" s="214"/>
      <c r="H49" s="214"/>
      <c r="I49" s="216"/>
      <c r="J49" s="211"/>
      <c r="K49" s="211"/>
      <c r="L49" s="215"/>
      <c r="M49" s="214"/>
      <c r="N49" s="214"/>
      <c r="O49" s="215"/>
      <c r="P49" s="214"/>
      <c r="Q49" s="214"/>
      <c r="R49" s="216"/>
      <c r="S49" s="211"/>
      <c r="T49" s="211"/>
      <c r="U49" s="216"/>
      <c r="V49" s="211"/>
      <c r="W49" s="211"/>
    </row>
    <row r="50" spans="1:23" ht="19.7" customHeight="1" x14ac:dyDescent="0.25">
      <c r="A50" s="214">
        <v>47</v>
      </c>
      <c r="B50" s="211" t="s">
        <v>21</v>
      </c>
      <c r="C50" s="214">
        <v>9</v>
      </c>
      <c r="D50" s="214"/>
      <c r="E50" s="211" t="s">
        <v>25</v>
      </c>
      <c r="F50" s="215"/>
      <c r="G50" s="214"/>
      <c r="H50" s="214"/>
      <c r="I50" s="215"/>
      <c r="J50" s="214"/>
      <c r="K50" s="214"/>
      <c r="L50" s="216"/>
      <c r="M50" s="211"/>
      <c r="N50" s="211"/>
      <c r="O50" s="216"/>
      <c r="P50" s="211"/>
      <c r="Q50" s="211"/>
      <c r="R50" s="215"/>
      <c r="S50" s="214"/>
      <c r="T50" s="214"/>
      <c r="U50" s="215"/>
      <c r="V50" s="214"/>
      <c r="W50" s="214"/>
    </row>
    <row r="51" spans="1:23" ht="19.7" customHeight="1" x14ac:dyDescent="0.25">
      <c r="A51" s="214">
        <v>48</v>
      </c>
      <c r="B51" s="211" t="s">
        <v>23</v>
      </c>
      <c r="C51" s="214">
        <v>9</v>
      </c>
      <c r="D51" s="214"/>
      <c r="E51" s="211" t="s">
        <v>25</v>
      </c>
      <c r="F51" s="216"/>
      <c r="G51" s="211"/>
      <c r="H51" s="211"/>
      <c r="I51" s="216"/>
      <c r="J51" s="211"/>
      <c r="K51" s="211"/>
      <c r="L51" s="216"/>
      <c r="M51" s="211"/>
      <c r="N51" s="211"/>
      <c r="O51" s="216"/>
      <c r="P51" s="211"/>
      <c r="Q51" s="211"/>
      <c r="R51" s="216"/>
      <c r="S51" s="211"/>
      <c r="T51" s="211"/>
      <c r="U51" s="215"/>
      <c r="V51" s="214"/>
      <c r="W51" s="214"/>
    </row>
    <row r="52" spans="1:23" ht="19.7" customHeight="1" x14ac:dyDescent="0.25">
      <c r="A52" s="214">
        <v>49</v>
      </c>
      <c r="B52" s="211" t="s">
        <v>23</v>
      </c>
      <c r="C52" s="214">
        <v>9</v>
      </c>
      <c r="D52" s="214"/>
      <c r="E52" s="211" t="s">
        <v>26</v>
      </c>
      <c r="F52" s="216"/>
      <c r="G52" s="211"/>
      <c r="H52" s="211"/>
      <c r="I52" s="216"/>
      <c r="J52" s="211"/>
      <c r="K52" s="211"/>
      <c r="L52" s="216"/>
      <c r="M52" s="211"/>
      <c r="N52" s="211"/>
      <c r="O52" s="216"/>
      <c r="P52" s="211"/>
      <c r="Q52" s="211"/>
      <c r="R52" s="216"/>
      <c r="S52" s="211"/>
      <c r="T52" s="211"/>
      <c r="U52" s="215"/>
      <c r="V52" s="214"/>
      <c r="W52" s="214"/>
    </row>
    <row r="53" spans="1:23" ht="19.7" customHeight="1" x14ac:dyDescent="0.25">
      <c r="A53" s="214">
        <v>50</v>
      </c>
      <c r="B53" s="211" t="s">
        <v>23</v>
      </c>
      <c r="C53" s="214">
        <v>9</v>
      </c>
      <c r="D53" s="214"/>
      <c r="E53" s="211" t="s">
        <v>25</v>
      </c>
      <c r="F53" s="215"/>
      <c r="G53" s="214"/>
      <c r="H53" s="214"/>
      <c r="I53" s="215"/>
      <c r="J53" s="214"/>
      <c r="K53" s="214"/>
      <c r="L53" s="215"/>
      <c r="M53" s="214"/>
      <c r="N53" s="214"/>
      <c r="O53" s="216"/>
      <c r="P53" s="211"/>
      <c r="Q53" s="211"/>
      <c r="R53" s="216"/>
      <c r="S53" s="211"/>
      <c r="T53" s="211"/>
      <c r="U53" s="215"/>
      <c r="V53" s="214"/>
      <c r="W53" s="214"/>
    </row>
    <row r="54" spans="1:23" ht="19.7" customHeight="1" x14ac:dyDescent="0.25">
      <c r="A54" s="214">
        <v>51</v>
      </c>
      <c r="B54" s="211" t="s">
        <v>23</v>
      </c>
      <c r="C54" s="214">
        <v>9</v>
      </c>
      <c r="D54" s="214"/>
      <c r="E54" s="211" t="s">
        <v>26</v>
      </c>
      <c r="F54" s="215"/>
      <c r="G54" s="214"/>
      <c r="H54" s="214"/>
      <c r="I54" s="215"/>
      <c r="J54" s="214"/>
      <c r="K54" s="214"/>
      <c r="L54" s="215"/>
      <c r="M54" s="214"/>
      <c r="N54" s="214"/>
      <c r="O54" s="216"/>
      <c r="P54" s="211"/>
      <c r="Q54" s="211"/>
      <c r="R54" s="216"/>
      <c r="S54" s="211"/>
      <c r="T54" s="211"/>
      <c r="U54" s="215"/>
      <c r="V54" s="214"/>
      <c r="W54" s="214"/>
    </row>
  </sheetData>
  <mergeCells count="8">
    <mergeCell ref="U2:W2"/>
    <mergeCell ref="A1:W1"/>
    <mergeCell ref="F2:H2"/>
    <mergeCell ref="I2:K2"/>
    <mergeCell ref="L2:N2"/>
    <mergeCell ref="O2:Q2"/>
    <mergeCell ref="R2:T2"/>
    <mergeCell ref="A2:E2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G2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2" sqref="B22:AZ27"/>
    </sheetView>
  </sheetViews>
  <sheetFormatPr defaultColWidth="9.1640625" defaultRowHeight="16.5" x14ac:dyDescent="0.25"/>
  <cols>
    <col min="1" max="16384" width="9.1640625" style="7"/>
  </cols>
  <sheetData>
    <row r="1" spans="1:111" x14ac:dyDescent="0.25">
      <c r="A1" s="9">
        <v>1</v>
      </c>
      <c r="B1" s="9">
        <v>2</v>
      </c>
      <c r="C1" s="9">
        <v>3</v>
      </c>
      <c r="D1" s="9">
        <v>4</v>
      </c>
      <c r="E1" s="9">
        <v>5</v>
      </c>
      <c r="F1" s="9">
        <v>6</v>
      </c>
      <c r="G1" s="9">
        <v>7</v>
      </c>
      <c r="H1" s="9">
        <v>8</v>
      </c>
      <c r="I1" s="9">
        <v>9</v>
      </c>
      <c r="J1" s="9">
        <v>10</v>
      </c>
      <c r="K1" s="9">
        <v>11</v>
      </c>
      <c r="L1" s="9">
        <v>12</v>
      </c>
      <c r="M1" s="9">
        <v>13</v>
      </c>
      <c r="N1" s="9">
        <v>14</v>
      </c>
      <c r="O1" s="9">
        <v>15</v>
      </c>
      <c r="P1" s="9">
        <v>16</v>
      </c>
      <c r="Q1" s="9">
        <v>17</v>
      </c>
      <c r="R1" s="9">
        <v>18</v>
      </c>
      <c r="S1" s="9">
        <v>19</v>
      </c>
      <c r="T1" s="9">
        <v>20</v>
      </c>
      <c r="U1" s="9">
        <v>21</v>
      </c>
      <c r="V1" s="9">
        <v>22</v>
      </c>
      <c r="W1" s="9">
        <v>23</v>
      </c>
      <c r="X1" s="9">
        <v>24</v>
      </c>
      <c r="Y1" s="9">
        <v>25</v>
      </c>
      <c r="Z1" s="9">
        <v>26</v>
      </c>
      <c r="AA1" s="9">
        <v>27</v>
      </c>
      <c r="AB1" s="9">
        <v>28</v>
      </c>
      <c r="AC1" s="9">
        <v>29</v>
      </c>
      <c r="AD1" s="9">
        <v>30</v>
      </c>
      <c r="AE1" s="9">
        <v>31</v>
      </c>
      <c r="AF1" s="9">
        <v>32</v>
      </c>
      <c r="AG1" s="9">
        <v>33</v>
      </c>
      <c r="AH1" s="9">
        <v>34</v>
      </c>
      <c r="AI1" s="9">
        <v>35</v>
      </c>
      <c r="AJ1" s="9">
        <v>36</v>
      </c>
      <c r="AK1" s="9">
        <v>37</v>
      </c>
      <c r="AL1" s="9">
        <v>38</v>
      </c>
      <c r="AM1" s="9">
        <v>39</v>
      </c>
      <c r="AN1" s="9">
        <v>40</v>
      </c>
      <c r="AO1" s="9">
        <v>41</v>
      </c>
      <c r="AP1" s="9">
        <v>42</v>
      </c>
      <c r="AQ1" s="9">
        <v>43</v>
      </c>
      <c r="AR1" s="9">
        <v>44</v>
      </c>
      <c r="AS1" s="9">
        <v>45</v>
      </c>
      <c r="AT1" s="9">
        <v>46</v>
      </c>
      <c r="AU1" s="9">
        <v>47</v>
      </c>
      <c r="AV1" s="9">
        <v>48</v>
      </c>
      <c r="AW1" s="9">
        <v>49</v>
      </c>
      <c r="AX1" s="9">
        <v>50</v>
      </c>
      <c r="AY1" s="9">
        <v>51</v>
      </c>
      <c r="AZ1" s="9">
        <v>52</v>
      </c>
      <c r="BA1" s="9">
        <v>1</v>
      </c>
      <c r="BB1" s="9">
        <v>2</v>
      </c>
      <c r="BC1" s="9">
        <v>3</v>
      </c>
      <c r="BD1" s="9">
        <v>4</v>
      </c>
      <c r="BE1" s="9">
        <v>5</v>
      </c>
      <c r="BF1" s="9">
        <v>6</v>
      </c>
      <c r="BG1" s="9">
        <v>7</v>
      </c>
      <c r="BH1" s="9">
        <v>8</v>
      </c>
      <c r="BI1" s="9">
        <v>9</v>
      </c>
      <c r="BJ1" s="9">
        <v>10</v>
      </c>
      <c r="BK1" s="9">
        <v>11</v>
      </c>
      <c r="BL1" s="9">
        <v>12</v>
      </c>
      <c r="BM1" s="9">
        <v>13</v>
      </c>
      <c r="BN1" s="9">
        <v>14</v>
      </c>
      <c r="BO1" s="9">
        <v>15</v>
      </c>
      <c r="BP1" s="9">
        <v>16</v>
      </c>
      <c r="BQ1" s="9">
        <v>17</v>
      </c>
      <c r="BR1" s="9">
        <v>18</v>
      </c>
      <c r="BS1" s="9">
        <v>19</v>
      </c>
      <c r="BT1" s="9">
        <v>20</v>
      </c>
      <c r="BU1" s="9">
        <v>21</v>
      </c>
      <c r="BV1" s="9">
        <v>22</v>
      </c>
      <c r="BW1" s="9">
        <v>23</v>
      </c>
      <c r="BX1" s="9">
        <v>24</v>
      </c>
      <c r="BY1" s="9">
        <v>25</v>
      </c>
      <c r="BZ1" s="9">
        <v>26</v>
      </c>
      <c r="CA1" s="9">
        <v>27</v>
      </c>
      <c r="CB1" s="9">
        <v>28</v>
      </c>
      <c r="CC1" s="9">
        <v>29</v>
      </c>
      <c r="CD1" s="9">
        <v>30</v>
      </c>
      <c r="CE1" s="9">
        <v>31</v>
      </c>
      <c r="CF1" s="9">
        <v>32</v>
      </c>
      <c r="CG1" s="9">
        <v>33</v>
      </c>
      <c r="CH1" s="9">
        <v>34</v>
      </c>
      <c r="CI1" s="9">
        <v>35</v>
      </c>
      <c r="CJ1" s="9">
        <v>36</v>
      </c>
      <c r="CK1" s="9">
        <v>37</v>
      </c>
      <c r="CL1" s="9">
        <v>38</v>
      </c>
      <c r="CM1" s="9">
        <v>39</v>
      </c>
      <c r="CN1" s="9">
        <v>40</v>
      </c>
      <c r="CO1" s="9">
        <v>41</v>
      </c>
      <c r="CP1" s="9">
        <v>42</v>
      </c>
      <c r="CQ1" s="9">
        <v>43</v>
      </c>
      <c r="CR1" s="9">
        <v>44</v>
      </c>
      <c r="CS1" s="9">
        <v>45</v>
      </c>
      <c r="CT1" s="9">
        <v>46</v>
      </c>
      <c r="CU1" s="9">
        <v>47</v>
      </c>
      <c r="CV1" s="9">
        <v>48</v>
      </c>
      <c r="CW1" s="9">
        <v>49</v>
      </c>
      <c r="CX1" s="9">
        <v>50</v>
      </c>
      <c r="CY1" s="9">
        <v>51</v>
      </c>
      <c r="CZ1" s="9">
        <v>52</v>
      </c>
      <c r="DA1" s="9"/>
      <c r="DB1" s="9"/>
      <c r="DC1" s="9"/>
      <c r="DD1" s="9"/>
      <c r="DE1" s="9"/>
      <c r="DF1" s="9"/>
      <c r="DG1" s="9"/>
    </row>
    <row r="2" spans="1:111" ht="33" x14ac:dyDescent="0.25">
      <c r="A2" s="5" t="s">
        <v>27</v>
      </c>
      <c r="B2" s="23" t="s">
        <v>63</v>
      </c>
      <c r="C2" s="23" t="s">
        <v>63</v>
      </c>
      <c r="D2" s="23" t="s">
        <v>66</v>
      </c>
      <c r="E2" s="23" t="s">
        <v>66</v>
      </c>
      <c r="F2" s="23" t="s">
        <v>68</v>
      </c>
      <c r="G2" s="23" t="s">
        <v>68</v>
      </c>
      <c r="H2" s="23" t="s">
        <v>67</v>
      </c>
      <c r="I2" s="23" t="s">
        <v>67</v>
      </c>
      <c r="J2" s="23" t="s">
        <v>72</v>
      </c>
      <c r="K2" s="23" t="s">
        <v>72</v>
      </c>
      <c r="L2" s="42" t="s">
        <v>69</v>
      </c>
      <c r="M2" s="42" t="s">
        <v>70</v>
      </c>
      <c r="N2" s="42" t="s">
        <v>71</v>
      </c>
      <c r="O2" s="42" t="s">
        <v>73</v>
      </c>
      <c r="P2" s="42" t="s">
        <v>73</v>
      </c>
      <c r="Q2" s="42" t="s">
        <v>73</v>
      </c>
      <c r="R2" s="42" t="s">
        <v>73</v>
      </c>
      <c r="S2" s="23" t="s">
        <v>63</v>
      </c>
      <c r="T2" s="23" t="s">
        <v>63</v>
      </c>
      <c r="U2" s="23" t="s">
        <v>66</v>
      </c>
      <c r="V2" s="23" t="s">
        <v>66</v>
      </c>
      <c r="W2" s="23" t="s">
        <v>68</v>
      </c>
      <c r="X2" s="23" t="s">
        <v>68</v>
      </c>
      <c r="Y2" s="23" t="s">
        <v>67</v>
      </c>
      <c r="Z2" s="23" t="s">
        <v>67</v>
      </c>
      <c r="AA2" s="23" t="s">
        <v>72</v>
      </c>
      <c r="AB2" s="23" t="s">
        <v>72</v>
      </c>
      <c r="AC2" s="42" t="s">
        <v>69</v>
      </c>
      <c r="AD2" s="42" t="s">
        <v>70</v>
      </c>
      <c r="AE2" s="42" t="s">
        <v>71</v>
      </c>
      <c r="AF2" s="42" t="s">
        <v>73</v>
      </c>
      <c r="AG2" s="42" t="s">
        <v>73</v>
      </c>
      <c r="AH2" s="42" t="s">
        <v>73</v>
      </c>
      <c r="AI2" s="42" t="s">
        <v>73</v>
      </c>
      <c r="AJ2" s="23" t="s">
        <v>63</v>
      </c>
      <c r="AK2" s="23" t="s">
        <v>63</v>
      </c>
      <c r="AL2" s="23" t="s">
        <v>66</v>
      </c>
      <c r="AM2" s="23" t="s">
        <v>66</v>
      </c>
      <c r="AN2" s="23" t="s">
        <v>68</v>
      </c>
      <c r="AO2" s="23" t="s">
        <v>68</v>
      </c>
      <c r="AP2" s="23" t="s">
        <v>67</v>
      </c>
      <c r="AQ2" s="23" t="s">
        <v>67</v>
      </c>
      <c r="AR2" s="23" t="s">
        <v>72</v>
      </c>
      <c r="AS2" s="23" t="s">
        <v>72</v>
      </c>
      <c r="AT2" s="42" t="s">
        <v>69</v>
      </c>
      <c r="AU2" s="42" t="s">
        <v>70</v>
      </c>
      <c r="AV2" s="42" t="s">
        <v>71</v>
      </c>
      <c r="AW2" s="42" t="s">
        <v>73</v>
      </c>
      <c r="AX2" s="42" t="s">
        <v>73</v>
      </c>
      <c r="AY2" s="42" t="s">
        <v>73</v>
      </c>
      <c r="AZ2" s="42" t="s">
        <v>73</v>
      </c>
      <c r="BA2" s="5" t="s">
        <v>27</v>
      </c>
      <c r="BB2" s="23" t="s">
        <v>63</v>
      </c>
      <c r="BC2" s="23" t="s">
        <v>63</v>
      </c>
      <c r="BD2" s="23" t="s">
        <v>66</v>
      </c>
      <c r="BE2" s="23" t="s">
        <v>66</v>
      </c>
      <c r="BF2" s="23" t="s">
        <v>68</v>
      </c>
      <c r="BG2" s="23" t="s">
        <v>68</v>
      </c>
      <c r="BH2" s="23" t="s">
        <v>67</v>
      </c>
      <c r="BI2" s="23" t="s">
        <v>67</v>
      </c>
      <c r="BJ2" s="23" t="s">
        <v>72</v>
      </c>
      <c r="BK2" s="23" t="s">
        <v>72</v>
      </c>
      <c r="BL2" s="42" t="s">
        <v>69</v>
      </c>
      <c r="BM2" s="42" t="s">
        <v>70</v>
      </c>
      <c r="BN2" s="42" t="s">
        <v>71</v>
      </c>
      <c r="BO2" s="42" t="s">
        <v>73</v>
      </c>
      <c r="BP2" s="42" t="s">
        <v>73</v>
      </c>
      <c r="BQ2" s="42" t="s">
        <v>73</v>
      </c>
      <c r="BR2" s="42" t="s">
        <v>73</v>
      </c>
      <c r="BS2" s="23" t="s">
        <v>63</v>
      </c>
      <c r="BT2" s="23" t="s">
        <v>63</v>
      </c>
      <c r="BU2" s="23" t="s">
        <v>66</v>
      </c>
      <c r="BV2" s="23" t="s">
        <v>66</v>
      </c>
      <c r="BW2" s="23" t="s">
        <v>68</v>
      </c>
      <c r="BX2" s="23" t="s">
        <v>68</v>
      </c>
      <c r="BY2" s="23" t="s">
        <v>67</v>
      </c>
      <c r="BZ2" s="23" t="s">
        <v>67</v>
      </c>
      <c r="CA2" s="23" t="s">
        <v>72</v>
      </c>
      <c r="CB2" s="23" t="s">
        <v>72</v>
      </c>
      <c r="CC2" s="42" t="s">
        <v>69</v>
      </c>
      <c r="CD2" s="42" t="s">
        <v>70</v>
      </c>
      <c r="CE2" s="42" t="s">
        <v>71</v>
      </c>
      <c r="CF2" s="42" t="s">
        <v>73</v>
      </c>
      <c r="CG2" s="42" t="s">
        <v>73</v>
      </c>
      <c r="CH2" s="42" t="s">
        <v>73</v>
      </c>
      <c r="CI2" s="42" t="s">
        <v>73</v>
      </c>
      <c r="CJ2" s="23" t="s">
        <v>63</v>
      </c>
      <c r="CK2" s="23" t="s">
        <v>63</v>
      </c>
      <c r="CL2" s="23" t="s">
        <v>66</v>
      </c>
      <c r="CM2" s="23" t="s">
        <v>66</v>
      </c>
      <c r="CN2" s="23" t="s">
        <v>68</v>
      </c>
      <c r="CO2" s="23" t="s">
        <v>68</v>
      </c>
      <c r="CP2" s="23" t="s">
        <v>67</v>
      </c>
      <c r="CQ2" s="23" t="s">
        <v>67</v>
      </c>
      <c r="CR2" s="23" t="s">
        <v>72</v>
      </c>
      <c r="CS2" s="23" t="s">
        <v>72</v>
      </c>
      <c r="CT2" s="42" t="s">
        <v>69</v>
      </c>
      <c r="CU2" s="42" t="s">
        <v>70</v>
      </c>
      <c r="CV2" s="42" t="s">
        <v>71</v>
      </c>
      <c r="CW2" s="42" t="s">
        <v>73</v>
      </c>
      <c r="CX2" s="42" t="s">
        <v>73</v>
      </c>
      <c r="CY2" s="42" t="s">
        <v>73</v>
      </c>
      <c r="CZ2" s="42" t="s">
        <v>73</v>
      </c>
    </row>
    <row r="3" spans="1:111" x14ac:dyDescent="0.25">
      <c r="A3" s="6" t="s">
        <v>28</v>
      </c>
      <c r="B3" s="24">
        <v>7</v>
      </c>
      <c r="C3" s="24">
        <v>7</v>
      </c>
      <c r="D3" s="24">
        <v>7</v>
      </c>
      <c r="E3" s="24">
        <v>7</v>
      </c>
      <c r="F3" s="24">
        <v>7</v>
      </c>
      <c r="G3" s="24">
        <v>7</v>
      </c>
      <c r="H3" s="24">
        <v>7</v>
      </c>
      <c r="I3" s="24">
        <v>7</v>
      </c>
      <c r="J3" s="24">
        <v>7</v>
      </c>
      <c r="K3" s="24">
        <v>7</v>
      </c>
      <c r="L3" s="24">
        <v>7</v>
      </c>
      <c r="M3" s="24">
        <v>7</v>
      </c>
      <c r="N3" s="24">
        <v>7</v>
      </c>
      <c r="O3" s="24">
        <v>7</v>
      </c>
      <c r="P3" s="24">
        <v>7</v>
      </c>
      <c r="Q3" s="24">
        <v>7</v>
      </c>
      <c r="R3" s="24">
        <v>7</v>
      </c>
      <c r="S3" s="24">
        <v>8</v>
      </c>
      <c r="T3" s="24">
        <v>8</v>
      </c>
      <c r="U3" s="24">
        <v>8</v>
      </c>
      <c r="V3" s="24">
        <v>8</v>
      </c>
      <c r="W3" s="24">
        <v>8</v>
      </c>
      <c r="X3" s="24">
        <v>8</v>
      </c>
      <c r="Y3" s="24">
        <v>8</v>
      </c>
      <c r="Z3" s="24">
        <v>8</v>
      </c>
      <c r="AA3" s="24">
        <v>8</v>
      </c>
      <c r="AB3" s="24">
        <v>8</v>
      </c>
      <c r="AC3" s="24">
        <v>8</v>
      </c>
      <c r="AD3" s="24">
        <v>8</v>
      </c>
      <c r="AE3" s="24">
        <v>8</v>
      </c>
      <c r="AF3" s="24">
        <v>8</v>
      </c>
      <c r="AG3" s="24">
        <v>8</v>
      </c>
      <c r="AH3" s="24">
        <v>8</v>
      </c>
      <c r="AI3" s="24">
        <v>8</v>
      </c>
      <c r="AJ3" s="24">
        <v>9</v>
      </c>
      <c r="AK3" s="24">
        <v>9</v>
      </c>
      <c r="AL3" s="24">
        <v>9</v>
      </c>
      <c r="AM3" s="24">
        <v>9</v>
      </c>
      <c r="AN3" s="24">
        <v>9</v>
      </c>
      <c r="AO3" s="24">
        <v>9</v>
      </c>
      <c r="AP3" s="24">
        <v>9</v>
      </c>
      <c r="AQ3" s="24">
        <v>9</v>
      </c>
      <c r="AR3" s="24">
        <v>9</v>
      </c>
      <c r="AS3" s="24">
        <v>9</v>
      </c>
      <c r="AT3" s="24">
        <v>9</v>
      </c>
      <c r="AU3" s="24">
        <v>9</v>
      </c>
      <c r="AV3" s="24">
        <v>9</v>
      </c>
      <c r="AW3" s="24">
        <v>9</v>
      </c>
      <c r="AX3" s="24">
        <v>9</v>
      </c>
      <c r="AY3" s="24">
        <v>9</v>
      </c>
      <c r="AZ3" s="24">
        <v>9</v>
      </c>
      <c r="BA3" s="6" t="s">
        <v>28</v>
      </c>
      <c r="BB3" s="24">
        <v>7</v>
      </c>
      <c r="BC3" s="24">
        <v>7</v>
      </c>
      <c r="BD3" s="24">
        <v>7</v>
      </c>
      <c r="BE3" s="24">
        <v>7</v>
      </c>
      <c r="BF3" s="24">
        <v>7</v>
      </c>
      <c r="BG3" s="24">
        <v>7</v>
      </c>
      <c r="BH3" s="24">
        <v>7</v>
      </c>
      <c r="BI3" s="24">
        <v>7</v>
      </c>
      <c r="BJ3" s="24">
        <v>7</v>
      </c>
      <c r="BK3" s="24">
        <v>7</v>
      </c>
      <c r="BL3" s="24">
        <v>7</v>
      </c>
      <c r="BM3" s="24">
        <v>7</v>
      </c>
      <c r="BN3" s="24">
        <v>7</v>
      </c>
      <c r="BO3" s="24">
        <v>7</v>
      </c>
      <c r="BP3" s="24">
        <v>7</v>
      </c>
      <c r="BQ3" s="24">
        <v>7</v>
      </c>
      <c r="BR3" s="24">
        <v>7</v>
      </c>
      <c r="BS3" s="24">
        <v>8</v>
      </c>
      <c r="BT3" s="24">
        <v>8</v>
      </c>
      <c r="BU3" s="24">
        <v>8</v>
      </c>
      <c r="BV3" s="24">
        <v>8</v>
      </c>
      <c r="BW3" s="24">
        <v>8</v>
      </c>
      <c r="BX3" s="24">
        <v>8</v>
      </c>
      <c r="BY3" s="24">
        <v>8</v>
      </c>
      <c r="BZ3" s="24">
        <v>8</v>
      </c>
      <c r="CA3" s="24">
        <v>8</v>
      </c>
      <c r="CB3" s="24">
        <v>8</v>
      </c>
      <c r="CC3" s="24">
        <v>8</v>
      </c>
      <c r="CD3" s="24">
        <v>8</v>
      </c>
      <c r="CE3" s="24">
        <v>8</v>
      </c>
      <c r="CF3" s="24">
        <v>8</v>
      </c>
      <c r="CG3" s="24">
        <v>8</v>
      </c>
      <c r="CH3" s="24">
        <v>8</v>
      </c>
      <c r="CI3" s="24">
        <v>8</v>
      </c>
      <c r="CJ3" s="24">
        <v>9</v>
      </c>
      <c r="CK3" s="24">
        <v>9</v>
      </c>
      <c r="CL3" s="24">
        <v>9</v>
      </c>
      <c r="CM3" s="24">
        <v>9</v>
      </c>
      <c r="CN3" s="24">
        <v>9</v>
      </c>
      <c r="CO3" s="24">
        <v>9</v>
      </c>
      <c r="CP3" s="24">
        <v>9</v>
      </c>
      <c r="CQ3" s="24">
        <v>9</v>
      </c>
      <c r="CR3" s="24">
        <v>9</v>
      </c>
      <c r="CS3" s="24">
        <v>9</v>
      </c>
      <c r="CT3" s="24">
        <v>9</v>
      </c>
      <c r="CU3" s="24">
        <v>9</v>
      </c>
      <c r="CV3" s="24">
        <v>9</v>
      </c>
      <c r="CW3" s="24">
        <v>9</v>
      </c>
      <c r="CX3" s="24">
        <v>9</v>
      </c>
      <c r="CY3" s="24">
        <v>9</v>
      </c>
      <c r="CZ3" s="24">
        <v>9</v>
      </c>
    </row>
    <row r="4" spans="1:111" x14ac:dyDescent="0.25">
      <c r="A4" s="6" t="s">
        <v>24</v>
      </c>
      <c r="B4" s="23" t="s">
        <v>64</v>
      </c>
      <c r="C4" s="23" t="s">
        <v>65</v>
      </c>
      <c r="D4" s="23" t="s">
        <v>64</v>
      </c>
      <c r="E4" s="23" t="s">
        <v>65</v>
      </c>
      <c r="F4" s="23" t="s">
        <v>64</v>
      </c>
      <c r="G4" s="23" t="s">
        <v>65</v>
      </c>
      <c r="H4" s="23" t="s">
        <v>64</v>
      </c>
      <c r="I4" s="23" t="s">
        <v>65</v>
      </c>
      <c r="J4" s="23" t="s">
        <v>64</v>
      </c>
      <c r="K4" s="23" t="s">
        <v>65</v>
      </c>
      <c r="L4" s="23" t="s">
        <v>64</v>
      </c>
      <c r="M4" s="23" t="s">
        <v>64</v>
      </c>
      <c r="N4" s="23" t="s">
        <v>64</v>
      </c>
      <c r="O4" s="23" t="s">
        <v>64</v>
      </c>
      <c r="P4" s="23" t="s">
        <v>65</v>
      </c>
      <c r="Q4" s="23" t="s">
        <v>64</v>
      </c>
      <c r="R4" s="23" t="s">
        <v>65</v>
      </c>
      <c r="S4" s="23" t="s">
        <v>64</v>
      </c>
      <c r="T4" s="23" t="s">
        <v>65</v>
      </c>
      <c r="U4" s="23" t="s">
        <v>64</v>
      </c>
      <c r="V4" s="23" t="s">
        <v>65</v>
      </c>
      <c r="W4" s="23" t="s">
        <v>64</v>
      </c>
      <c r="X4" s="23" t="s">
        <v>65</v>
      </c>
      <c r="Y4" s="23" t="s">
        <v>64</v>
      </c>
      <c r="Z4" s="23" t="s">
        <v>65</v>
      </c>
      <c r="AA4" s="23" t="s">
        <v>64</v>
      </c>
      <c r="AB4" s="23" t="s">
        <v>65</v>
      </c>
      <c r="AC4" s="23" t="s">
        <v>64</v>
      </c>
      <c r="AD4" s="23" t="s">
        <v>64</v>
      </c>
      <c r="AE4" s="23" t="s">
        <v>64</v>
      </c>
      <c r="AF4" s="23" t="s">
        <v>64</v>
      </c>
      <c r="AG4" s="23" t="s">
        <v>65</v>
      </c>
      <c r="AH4" s="23" t="s">
        <v>64</v>
      </c>
      <c r="AI4" s="23" t="s">
        <v>65</v>
      </c>
      <c r="AJ4" s="23" t="s">
        <v>64</v>
      </c>
      <c r="AK4" s="23" t="s">
        <v>65</v>
      </c>
      <c r="AL4" s="23" t="s">
        <v>64</v>
      </c>
      <c r="AM4" s="23" t="s">
        <v>65</v>
      </c>
      <c r="AN4" s="23" t="s">
        <v>64</v>
      </c>
      <c r="AO4" s="23" t="s">
        <v>65</v>
      </c>
      <c r="AP4" s="23" t="s">
        <v>64</v>
      </c>
      <c r="AQ4" s="23" t="s">
        <v>65</v>
      </c>
      <c r="AR4" s="23" t="s">
        <v>64</v>
      </c>
      <c r="AS4" s="23" t="s">
        <v>65</v>
      </c>
      <c r="AT4" s="23" t="s">
        <v>64</v>
      </c>
      <c r="AU4" s="23" t="s">
        <v>64</v>
      </c>
      <c r="AV4" s="23" t="s">
        <v>64</v>
      </c>
      <c r="AW4" s="23" t="s">
        <v>64</v>
      </c>
      <c r="AX4" s="23" t="s">
        <v>65</v>
      </c>
      <c r="AY4" s="23" t="s">
        <v>64</v>
      </c>
      <c r="AZ4" s="23" t="s">
        <v>65</v>
      </c>
      <c r="BA4" s="6" t="s">
        <v>24</v>
      </c>
      <c r="BB4" s="23" t="s">
        <v>64</v>
      </c>
      <c r="BC4" s="23" t="s">
        <v>65</v>
      </c>
      <c r="BD4" s="23" t="s">
        <v>64</v>
      </c>
      <c r="BE4" s="23" t="s">
        <v>65</v>
      </c>
      <c r="BF4" s="23" t="s">
        <v>64</v>
      </c>
      <c r="BG4" s="23" t="s">
        <v>65</v>
      </c>
      <c r="BH4" s="23" t="s">
        <v>64</v>
      </c>
      <c r="BI4" s="23" t="s">
        <v>65</v>
      </c>
      <c r="BJ4" s="23" t="s">
        <v>64</v>
      </c>
      <c r="BK4" s="23" t="s">
        <v>65</v>
      </c>
      <c r="BL4" s="23" t="s">
        <v>64</v>
      </c>
      <c r="BM4" s="23" t="s">
        <v>64</v>
      </c>
      <c r="BN4" s="23" t="s">
        <v>64</v>
      </c>
      <c r="BO4" s="23" t="s">
        <v>64</v>
      </c>
      <c r="BP4" s="23" t="s">
        <v>65</v>
      </c>
      <c r="BQ4" s="23" t="s">
        <v>64</v>
      </c>
      <c r="BR4" s="23" t="s">
        <v>65</v>
      </c>
      <c r="BS4" s="23" t="s">
        <v>64</v>
      </c>
      <c r="BT4" s="23" t="s">
        <v>65</v>
      </c>
      <c r="BU4" s="23" t="s">
        <v>64</v>
      </c>
      <c r="BV4" s="23" t="s">
        <v>65</v>
      </c>
      <c r="BW4" s="23" t="s">
        <v>64</v>
      </c>
      <c r="BX4" s="23" t="s">
        <v>65</v>
      </c>
      <c r="BY4" s="23" t="s">
        <v>64</v>
      </c>
      <c r="BZ4" s="23" t="s">
        <v>65</v>
      </c>
      <c r="CA4" s="23" t="s">
        <v>64</v>
      </c>
      <c r="CB4" s="23" t="s">
        <v>65</v>
      </c>
      <c r="CC4" s="23" t="s">
        <v>64</v>
      </c>
      <c r="CD4" s="23" t="s">
        <v>64</v>
      </c>
      <c r="CE4" s="23" t="s">
        <v>64</v>
      </c>
      <c r="CF4" s="23" t="s">
        <v>64</v>
      </c>
      <c r="CG4" s="23" t="s">
        <v>65</v>
      </c>
      <c r="CH4" s="23" t="s">
        <v>64</v>
      </c>
      <c r="CI4" s="23" t="s">
        <v>65</v>
      </c>
      <c r="CJ4" s="23" t="s">
        <v>64</v>
      </c>
      <c r="CK4" s="23" t="s">
        <v>65</v>
      </c>
      <c r="CL4" s="23" t="s">
        <v>64</v>
      </c>
      <c r="CM4" s="23" t="s">
        <v>65</v>
      </c>
      <c r="CN4" s="23" t="s">
        <v>64</v>
      </c>
      <c r="CO4" s="23" t="s">
        <v>65</v>
      </c>
      <c r="CP4" s="23" t="s">
        <v>64</v>
      </c>
      <c r="CQ4" s="23" t="s">
        <v>65</v>
      </c>
      <c r="CR4" s="23" t="s">
        <v>64</v>
      </c>
      <c r="CS4" s="23" t="s">
        <v>65</v>
      </c>
      <c r="CT4" s="23" t="s">
        <v>64</v>
      </c>
      <c r="CU4" s="23" t="s">
        <v>64</v>
      </c>
      <c r="CV4" s="23" t="s">
        <v>64</v>
      </c>
      <c r="CW4" s="23" t="s">
        <v>64</v>
      </c>
      <c r="CX4" s="23" t="s">
        <v>65</v>
      </c>
      <c r="CY4" s="23" t="s">
        <v>64</v>
      </c>
      <c r="CZ4" s="23" t="s">
        <v>65</v>
      </c>
    </row>
    <row r="5" spans="1:111" x14ac:dyDescent="0.25">
      <c r="A5" s="8" t="s">
        <v>75</v>
      </c>
      <c r="B5" s="25" t="s">
        <v>76</v>
      </c>
      <c r="C5" s="25" t="s">
        <v>76</v>
      </c>
      <c r="D5" s="25" t="s">
        <v>76</v>
      </c>
      <c r="E5" s="25" t="s">
        <v>76</v>
      </c>
      <c r="F5" s="25" t="s">
        <v>76</v>
      </c>
      <c r="G5" s="25" t="s">
        <v>76</v>
      </c>
      <c r="H5" s="25" t="s">
        <v>76</v>
      </c>
      <c r="I5" s="25" t="s">
        <v>76</v>
      </c>
      <c r="J5" s="25" t="s">
        <v>76</v>
      </c>
      <c r="K5" s="25" t="s">
        <v>76</v>
      </c>
      <c r="L5" s="25" t="s">
        <v>76</v>
      </c>
      <c r="M5" s="25" t="s">
        <v>76</v>
      </c>
      <c r="N5" s="25" t="s">
        <v>76</v>
      </c>
      <c r="O5" s="25" t="s">
        <v>76</v>
      </c>
      <c r="P5" s="25" t="s">
        <v>76</v>
      </c>
      <c r="Q5" s="25" t="s">
        <v>76</v>
      </c>
      <c r="R5" s="25" t="s">
        <v>76</v>
      </c>
      <c r="S5" s="25" t="s">
        <v>76</v>
      </c>
      <c r="T5" s="25" t="s">
        <v>76</v>
      </c>
      <c r="U5" s="25" t="s">
        <v>76</v>
      </c>
      <c r="V5" s="25" t="s">
        <v>76</v>
      </c>
      <c r="W5" s="25" t="s">
        <v>76</v>
      </c>
      <c r="X5" s="25" t="s">
        <v>76</v>
      </c>
      <c r="Y5" s="25" t="s">
        <v>76</v>
      </c>
      <c r="Z5" s="25" t="s">
        <v>76</v>
      </c>
      <c r="AA5" s="25" t="s">
        <v>76</v>
      </c>
      <c r="AB5" s="25" t="s">
        <v>76</v>
      </c>
      <c r="AC5" s="25" t="s">
        <v>76</v>
      </c>
      <c r="AD5" s="25" t="s">
        <v>76</v>
      </c>
      <c r="AE5" s="25" t="s">
        <v>76</v>
      </c>
      <c r="AF5" s="25" t="s">
        <v>76</v>
      </c>
      <c r="AG5" s="25" t="s">
        <v>76</v>
      </c>
      <c r="AH5" s="25" t="s">
        <v>76</v>
      </c>
      <c r="AI5" s="25" t="s">
        <v>76</v>
      </c>
      <c r="AJ5" s="25" t="s">
        <v>76</v>
      </c>
      <c r="AK5" s="25" t="s">
        <v>76</v>
      </c>
      <c r="AL5" s="25" t="s">
        <v>76</v>
      </c>
      <c r="AM5" s="25" t="s">
        <v>76</v>
      </c>
      <c r="AN5" s="25" t="s">
        <v>76</v>
      </c>
      <c r="AO5" s="25" t="s">
        <v>76</v>
      </c>
      <c r="AP5" s="25" t="s">
        <v>76</v>
      </c>
      <c r="AQ5" s="25" t="s">
        <v>76</v>
      </c>
      <c r="AR5" s="25" t="s">
        <v>76</v>
      </c>
      <c r="AS5" s="25" t="s">
        <v>76</v>
      </c>
      <c r="AT5" s="25" t="s">
        <v>76</v>
      </c>
      <c r="AU5" s="25" t="s">
        <v>76</v>
      </c>
      <c r="AV5" s="25" t="s">
        <v>76</v>
      </c>
      <c r="AW5" s="25" t="s">
        <v>76</v>
      </c>
      <c r="AX5" s="25" t="s">
        <v>76</v>
      </c>
      <c r="AY5" s="25" t="s">
        <v>76</v>
      </c>
      <c r="AZ5" s="25" t="s">
        <v>76</v>
      </c>
      <c r="BA5" s="8" t="s">
        <v>10</v>
      </c>
      <c r="BB5" s="26" t="s">
        <v>76</v>
      </c>
      <c r="BC5" s="26" t="s">
        <v>76</v>
      </c>
      <c r="BD5" s="26" t="s">
        <v>76</v>
      </c>
      <c r="BE5" s="26" t="s">
        <v>76</v>
      </c>
      <c r="BF5" s="26" t="s">
        <v>76</v>
      </c>
      <c r="BG5" s="26" t="s">
        <v>76</v>
      </c>
      <c r="BH5" s="26" t="s">
        <v>76</v>
      </c>
      <c r="BI5" s="26" t="s">
        <v>76</v>
      </c>
      <c r="BJ5" s="26" t="s">
        <v>76</v>
      </c>
      <c r="BK5" s="26" t="s">
        <v>76</v>
      </c>
      <c r="BL5" s="26" t="s">
        <v>76</v>
      </c>
      <c r="BM5" s="26" t="s">
        <v>76</v>
      </c>
      <c r="BN5" s="26" t="s">
        <v>76</v>
      </c>
      <c r="BO5" s="26" t="s">
        <v>76</v>
      </c>
      <c r="BP5" s="26" t="s">
        <v>76</v>
      </c>
      <c r="BQ5" s="26" t="s">
        <v>76</v>
      </c>
      <c r="BR5" s="26" t="s">
        <v>76</v>
      </c>
      <c r="BS5" s="26" t="s">
        <v>76</v>
      </c>
      <c r="BT5" s="26" t="s">
        <v>76</v>
      </c>
      <c r="BU5" s="26" t="s">
        <v>76</v>
      </c>
      <c r="BV5" s="26" t="s">
        <v>76</v>
      </c>
      <c r="BW5" s="26" t="s">
        <v>76</v>
      </c>
      <c r="BX5" s="26" t="s">
        <v>76</v>
      </c>
      <c r="BY5" s="26" t="s">
        <v>76</v>
      </c>
      <c r="BZ5" s="26" t="s">
        <v>76</v>
      </c>
      <c r="CA5" s="26" t="s">
        <v>76</v>
      </c>
      <c r="CB5" s="26" t="s">
        <v>76</v>
      </c>
      <c r="CC5" s="26" t="s">
        <v>76</v>
      </c>
      <c r="CD5" s="26" t="s">
        <v>76</v>
      </c>
      <c r="CE5" s="26" t="s">
        <v>76</v>
      </c>
      <c r="CF5" s="26" t="s">
        <v>76</v>
      </c>
      <c r="CG5" s="26" t="s">
        <v>76</v>
      </c>
      <c r="CH5" s="26" t="s">
        <v>76</v>
      </c>
      <c r="CI5" s="26" t="s">
        <v>76</v>
      </c>
      <c r="CJ5" s="26" t="s">
        <v>76</v>
      </c>
      <c r="CK5" s="26" t="s">
        <v>76</v>
      </c>
      <c r="CL5" s="26" t="s">
        <v>76</v>
      </c>
      <c r="CM5" s="26" t="s">
        <v>76</v>
      </c>
      <c r="CN5" s="26" t="s">
        <v>76</v>
      </c>
      <c r="CO5" s="26" t="s">
        <v>76</v>
      </c>
      <c r="CP5" s="26" t="s">
        <v>76</v>
      </c>
      <c r="CQ5" s="26" t="s">
        <v>76</v>
      </c>
      <c r="CR5" s="26" t="s">
        <v>76</v>
      </c>
      <c r="CS5" s="26" t="s">
        <v>76</v>
      </c>
      <c r="CT5" s="26" t="s">
        <v>76</v>
      </c>
      <c r="CU5" s="26" t="s">
        <v>76</v>
      </c>
      <c r="CV5" s="26" t="s">
        <v>76</v>
      </c>
      <c r="CW5" s="26" t="s">
        <v>76</v>
      </c>
      <c r="CX5" s="26" t="s">
        <v>76</v>
      </c>
      <c r="CY5" s="26" t="s">
        <v>76</v>
      </c>
      <c r="CZ5" s="26" t="s">
        <v>76</v>
      </c>
    </row>
    <row r="6" spans="1:111" x14ac:dyDescent="0.25">
      <c r="A6" s="8" t="s">
        <v>46</v>
      </c>
      <c r="B6" s="214">
        <v>119</v>
      </c>
      <c r="C6" s="214">
        <v>61</v>
      </c>
      <c r="D6" s="214">
        <v>176</v>
      </c>
      <c r="E6" s="214">
        <v>63</v>
      </c>
      <c r="F6" s="214">
        <v>133</v>
      </c>
      <c r="G6" s="214">
        <v>57</v>
      </c>
      <c r="H6" s="214">
        <v>145</v>
      </c>
      <c r="I6" s="214">
        <v>50</v>
      </c>
      <c r="J6" s="214">
        <v>97</v>
      </c>
      <c r="K6" s="214">
        <v>41</v>
      </c>
      <c r="L6" s="214">
        <v>128</v>
      </c>
      <c r="M6" s="214">
        <v>89</v>
      </c>
      <c r="N6" s="214">
        <v>153</v>
      </c>
      <c r="O6" s="211">
        <v>186</v>
      </c>
      <c r="P6" s="211">
        <v>68</v>
      </c>
      <c r="Q6" s="211" t="s">
        <v>241</v>
      </c>
      <c r="R6" s="211" t="s">
        <v>241</v>
      </c>
      <c r="S6" s="214">
        <v>117</v>
      </c>
      <c r="T6" s="214">
        <v>59</v>
      </c>
      <c r="U6" s="214">
        <v>186</v>
      </c>
      <c r="V6" s="214">
        <v>70</v>
      </c>
      <c r="W6" s="214">
        <v>139</v>
      </c>
      <c r="X6" s="214">
        <v>51</v>
      </c>
      <c r="Y6" s="214">
        <v>117</v>
      </c>
      <c r="Z6" s="214">
        <v>55</v>
      </c>
      <c r="AA6" s="214">
        <v>103</v>
      </c>
      <c r="AB6" s="214">
        <v>41</v>
      </c>
      <c r="AC6" s="214">
        <v>128</v>
      </c>
      <c r="AD6" s="214">
        <v>78</v>
      </c>
      <c r="AE6" s="214">
        <v>151</v>
      </c>
      <c r="AF6" s="211">
        <v>173</v>
      </c>
      <c r="AG6" s="211">
        <v>68</v>
      </c>
      <c r="AH6" s="214" t="s">
        <v>241</v>
      </c>
      <c r="AI6" s="214" t="s">
        <v>241</v>
      </c>
      <c r="AJ6" s="214">
        <v>112</v>
      </c>
      <c r="AK6" s="214">
        <v>59</v>
      </c>
      <c r="AL6" s="214">
        <v>180</v>
      </c>
      <c r="AM6" s="214">
        <v>65</v>
      </c>
      <c r="AN6" s="214">
        <v>144</v>
      </c>
      <c r="AO6" s="214">
        <v>57</v>
      </c>
      <c r="AP6" s="214">
        <v>131</v>
      </c>
      <c r="AQ6" s="214">
        <v>47</v>
      </c>
      <c r="AR6" s="214">
        <v>105</v>
      </c>
      <c r="AS6" s="214">
        <v>45</v>
      </c>
      <c r="AT6" s="214">
        <v>133</v>
      </c>
      <c r="AU6" s="214">
        <v>81</v>
      </c>
      <c r="AV6" s="214">
        <v>146</v>
      </c>
      <c r="AW6" s="211">
        <v>150</v>
      </c>
      <c r="AX6" s="211">
        <v>74</v>
      </c>
      <c r="AY6" s="214" t="s">
        <v>241</v>
      </c>
      <c r="AZ6" s="214" t="s">
        <v>241</v>
      </c>
      <c r="BA6" s="8" t="s">
        <v>46</v>
      </c>
      <c r="BB6" s="217">
        <v>4</v>
      </c>
      <c r="BC6" s="217">
        <v>2</v>
      </c>
      <c r="BD6" s="217">
        <v>6</v>
      </c>
      <c r="BE6" s="217">
        <v>2</v>
      </c>
      <c r="BF6" s="217">
        <v>4</v>
      </c>
      <c r="BG6" s="217">
        <v>2</v>
      </c>
      <c r="BH6" s="217">
        <v>5</v>
      </c>
      <c r="BI6" s="217">
        <v>2</v>
      </c>
      <c r="BJ6" s="217">
        <v>3</v>
      </c>
      <c r="BK6" s="217">
        <v>1</v>
      </c>
      <c r="BL6" s="217">
        <v>5</v>
      </c>
      <c r="BM6" s="217">
        <v>3</v>
      </c>
      <c r="BN6" s="217">
        <v>5</v>
      </c>
      <c r="BO6" s="218">
        <v>7</v>
      </c>
      <c r="BP6" s="218">
        <v>2</v>
      </c>
      <c r="BQ6" s="217" t="s">
        <v>241</v>
      </c>
      <c r="BR6" s="217" t="s">
        <v>241</v>
      </c>
      <c r="BS6" s="217">
        <v>4</v>
      </c>
      <c r="BT6" s="217">
        <v>2</v>
      </c>
      <c r="BU6" s="217">
        <v>7</v>
      </c>
      <c r="BV6" s="217">
        <v>2</v>
      </c>
      <c r="BW6" s="217">
        <v>5</v>
      </c>
      <c r="BX6" s="217">
        <v>2</v>
      </c>
      <c r="BY6" s="217">
        <v>4</v>
      </c>
      <c r="BZ6" s="217">
        <v>2</v>
      </c>
      <c r="CA6" s="217">
        <v>4</v>
      </c>
      <c r="CB6" s="217">
        <v>1</v>
      </c>
      <c r="CC6" s="217">
        <v>5</v>
      </c>
      <c r="CD6" s="217">
        <v>3</v>
      </c>
      <c r="CE6" s="217">
        <v>5</v>
      </c>
      <c r="CF6" s="218">
        <v>6</v>
      </c>
      <c r="CG6" s="218">
        <v>2</v>
      </c>
      <c r="CH6" s="217" t="s">
        <v>241</v>
      </c>
      <c r="CI6" s="217" t="s">
        <v>241</v>
      </c>
      <c r="CJ6" s="217">
        <v>4</v>
      </c>
      <c r="CK6" s="217">
        <v>2</v>
      </c>
      <c r="CL6" s="217">
        <v>6</v>
      </c>
      <c r="CM6" s="217">
        <v>3</v>
      </c>
      <c r="CN6" s="217">
        <v>5</v>
      </c>
      <c r="CO6" s="217">
        <v>2</v>
      </c>
      <c r="CP6" s="217">
        <v>4</v>
      </c>
      <c r="CQ6" s="217">
        <v>2</v>
      </c>
      <c r="CR6" s="217">
        <v>4</v>
      </c>
      <c r="CS6" s="217">
        <v>2</v>
      </c>
      <c r="CT6" s="217">
        <v>4</v>
      </c>
      <c r="CU6" s="217">
        <v>3</v>
      </c>
      <c r="CV6" s="217">
        <v>5</v>
      </c>
      <c r="CW6" s="218">
        <v>5</v>
      </c>
      <c r="CX6" s="218">
        <v>3</v>
      </c>
      <c r="CY6" s="217" t="s">
        <v>241</v>
      </c>
      <c r="CZ6" s="217" t="s">
        <v>241</v>
      </c>
    </row>
    <row r="7" spans="1:111" x14ac:dyDescent="0.25">
      <c r="A7" s="8" t="s">
        <v>12</v>
      </c>
      <c r="B7" s="214">
        <v>110</v>
      </c>
      <c r="C7" s="214">
        <v>68</v>
      </c>
      <c r="D7" s="214">
        <v>182</v>
      </c>
      <c r="E7" s="214">
        <v>50</v>
      </c>
      <c r="F7" s="214">
        <v>128</v>
      </c>
      <c r="G7" s="214">
        <v>55</v>
      </c>
      <c r="H7" s="214">
        <v>143</v>
      </c>
      <c r="I7" s="214">
        <v>54</v>
      </c>
      <c r="J7" s="211" t="s">
        <v>241</v>
      </c>
      <c r="K7" s="211" t="s">
        <v>241</v>
      </c>
      <c r="L7" s="214">
        <v>122</v>
      </c>
      <c r="M7" s="214">
        <v>82</v>
      </c>
      <c r="N7" s="214">
        <v>146</v>
      </c>
      <c r="O7" s="211">
        <v>186</v>
      </c>
      <c r="P7" s="211">
        <v>70</v>
      </c>
      <c r="Q7" s="214" t="s">
        <v>241</v>
      </c>
      <c r="R7" s="214" t="s">
        <v>241</v>
      </c>
      <c r="S7" s="214">
        <v>124</v>
      </c>
      <c r="T7" s="214">
        <v>68</v>
      </c>
      <c r="U7" s="214">
        <v>163</v>
      </c>
      <c r="V7" s="214">
        <v>54</v>
      </c>
      <c r="W7" s="214">
        <v>126</v>
      </c>
      <c r="X7" s="214">
        <v>60</v>
      </c>
      <c r="Y7" s="214">
        <v>151</v>
      </c>
      <c r="Z7" s="214">
        <v>52</v>
      </c>
      <c r="AA7" s="211" t="s">
        <v>241</v>
      </c>
      <c r="AB7" s="211" t="s">
        <v>241</v>
      </c>
      <c r="AC7" s="214">
        <v>143</v>
      </c>
      <c r="AD7" s="214">
        <v>81</v>
      </c>
      <c r="AE7" s="214">
        <v>163</v>
      </c>
      <c r="AF7" s="211">
        <v>170</v>
      </c>
      <c r="AG7" s="211">
        <v>54</v>
      </c>
      <c r="AH7" s="214" t="s">
        <v>241</v>
      </c>
      <c r="AI7" s="214" t="s">
        <v>241</v>
      </c>
      <c r="AJ7" s="214">
        <v>122</v>
      </c>
      <c r="AK7" s="214">
        <v>63</v>
      </c>
      <c r="AL7" s="214">
        <v>159</v>
      </c>
      <c r="AM7" s="214">
        <v>47</v>
      </c>
      <c r="AN7" s="214">
        <v>139</v>
      </c>
      <c r="AO7" s="214">
        <v>58</v>
      </c>
      <c r="AP7" s="214">
        <v>151</v>
      </c>
      <c r="AQ7" s="214">
        <v>66</v>
      </c>
      <c r="AR7" s="211" t="s">
        <v>241</v>
      </c>
      <c r="AS7" s="211" t="s">
        <v>241</v>
      </c>
      <c r="AT7" s="214">
        <v>184</v>
      </c>
      <c r="AU7" s="214">
        <v>96</v>
      </c>
      <c r="AV7" s="214">
        <v>154</v>
      </c>
      <c r="AW7" s="211">
        <v>190</v>
      </c>
      <c r="AX7" s="211">
        <v>49</v>
      </c>
      <c r="AY7" s="214" t="s">
        <v>241</v>
      </c>
      <c r="AZ7" s="214" t="s">
        <v>241</v>
      </c>
      <c r="BA7" s="8" t="s">
        <v>12</v>
      </c>
      <c r="BB7" s="217">
        <v>4</v>
      </c>
      <c r="BC7" s="217">
        <v>2</v>
      </c>
      <c r="BD7" s="217">
        <v>6</v>
      </c>
      <c r="BE7" s="217">
        <v>2</v>
      </c>
      <c r="BF7" s="217">
        <v>5</v>
      </c>
      <c r="BG7" s="217">
        <v>2</v>
      </c>
      <c r="BH7" s="217">
        <v>5</v>
      </c>
      <c r="BI7" s="217">
        <v>2</v>
      </c>
      <c r="BJ7" s="218" t="s">
        <v>241</v>
      </c>
      <c r="BK7" s="218" t="s">
        <v>241</v>
      </c>
      <c r="BL7" s="217">
        <v>4</v>
      </c>
      <c r="BM7" s="217">
        <v>3</v>
      </c>
      <c r="BN7" s="217">
        <v>5</v>
      </c>
      <c r="BO7" s="218">
        <v>7</v>
      </c>
      <c r="BP7" s="218">
        <v>3</v>
      </c>
      <c r="BQ7" s="217" t="s">
        <v>241</v>
      </c>
      <c r="BR7" s="217" t="s">
        <v>241</v>
      </c>
      <c r="BS7" s="217">
        <v>4</v>
      </c>
      <c r="BT7" s="217">
        <v>2</v>
      </c>
      <c r="BU7" s="217">
        <v>6</v>
      </c>
      <c r="BV7" s="217">
        <v>2</v>
      </c>
      <c r="BW7" s="217">
        <v>4</v>
      </c>
      <c r="BX7" s="217">
        <v>2</v>
      </c>
      <c r="BY7" s="217">
        <v>6</v>
      </c>
      <c r="BZ7" s="217">
        <v>2</v>
      </c>
      <c r="CA7" s="218" t="s">
        <v>241</v>
      </c>
      <c r="CB7" s="218" t="s">
        <v>241</v>
      </c>
      <c r="CC7" s="217">
        <v>5</v>
      </c>
      <c r="CD7" s="217">
        <v>3</v>
      </c>
      <c r="CE7" s="217">
        <v>6</v>
      </c>
      <c r="CF7" s="218">
        <v>6</v>
      </c>
      <c r="CG7" s="218">
        <v>2</v>
      </c>
      <c r="CH7" s="217" t="s">
        <v>241</v>
      </c>
      <c r="CI7" s="217" t="s">
        <v>241</v>
      </c>
      <c r="CJ7" s="217">
        <v>4</v>
      </c>
      <c r="CK7" s="217">
        <v>2</v>
      </c>
      <c r="CL7" s="217">
        <v>5</v>
      </c>
      <c r="CM7" s="217">
        <v>2</v>
      </c>
      <c r="CN7" s="217">
        <v>5</v>
      </c>
      <c r="CO7" s="217">
        <v>2</v>
      </c>
      <c r="CP7" s="217">
        <v>5</v>
      </c>
      <c r="CQ7" s="217">
        <v>3</v>
      </c>
      <c r="CR7" s="218" t="s">
        <v>241</v>
      </c>
      <c r="CS7" s="218" t="s">
        <v>241</v>
      </c>
      <c r="CT7" s="217">
        <v>6</v>
      </c>
      <c r="CU7" s="217">
        <v>3</v>
      </c>
      <c r="CV7" s="217">
        <v>5</v>
      </c>
      <c r="CW7" s="218">
        <v>7</v>
      </c>
      <c r="CX7" s="218">
        <v>2</v>
      </c>
      <c r="CY7" s="217" t="s">
        <v>241</v>
      </c>
      <c r="CZ7" s="217" t="s">
        <v>241</v>
      </c>
    </row>
    <row r="8" spans="1:111" x14ac:dyDescent="0.25">
      <c r="A8" s="8" t="s">
        <v>13</v>
      </c>
      <c r="B8" s="214">
        <v>124</v>
      </c>
      <c r="C8" s="214">
        <v>58</v>
      </c>
      <c r="D8" s="214">
        <v>195</v>
      </c>
      <c r="E8" s="214">
        <v>45</v>
      </c>
      <c r="F8" s="214">
        <v>122</v>
      </c>
      <c r="G8" s="214">
        <v>47</v>
      </c>
      <c r="H8" s="214">
        <v>182</v>
      </c>
      <c r="I8" s="214">
        <v>65</v>
      </c>
      <c r="J8" s="214">
        <v>127</v>
      </c>
      <c r="K8" s="214">
        <v>46</v>
      </c>
      <c r="L8" s="214">
        <v>160</v>
      </c>
      <c r="M8" s="214">
        <v>105</v>
      </c>
      <c r="N8" s="211" t="s">
        <v>241</v>
      </c>
      <c r="O8" s="211">
        <v>150</v>
      </c>
      <c r="P8" s="211">
        <v>42</v>
      </c>
      <c r="Q8" s="214" t="s">
        <v>241</v>
      </c>
      <c r="R8" s="214" t="s">
        <v>241</v>
      </c>
      <c r="S8" s="214">
        <v>132</v>
      </c>
      <c r="T8" s="214">
        <v>70</v>
      </c>
      <c r="U8" s="214">
        <v>207</v>
      </c>
      <c r="V8" s="214">
        <v>57</v>
      </c>
      <c r="W8" s="214">
        <v>157</v>
      </c>
      <c r="X8" s="214">
        <v>61</v>
      </c>
      <c r="Y8" s="214">
        <v>198</v>
      </c>
      <c r="Z8" s="214">
        <v>64</v>
      </c>
      <c r="AA8" s="214">
        <v>135</v>
      </c>
      <c r="AB8" s="214">
        <v>58</v>
      </c>
      <c r="AC8" s="214">
        <v>170</v>
      </c>
      <c r="AD8" s="214">
        <v>85</v>
      </c>
      <c r="AE8" s="211" t="s">
        <v>241</v>
      </c>
      <c r="AF8" s="211">
        <v>210</v>
      </c>
      <c r="AG8" s="211">
        <v>54</v>
      </c>
      <c r="AH8" s="214" t="s">
        <v>241</v>
      </c>
      <c r="AI8" s="214" t="s">
        <v>241</v>
      </c>
      <c r="AJ8" s="214">
        <v>133</v>
      </c>
      <c r="AK8" s="214">
        <v>60</v>
      </c>
      <c r="AL8" s="214">
        <v>215</v>
      </c>
      <c r="AM8" s="214">
        <v>46</v>
      </c>
      <c r="AN8" s="214">
        <v>157</v>
      </c>
      <c r="AO8" s="214">
        <v>49</v>
      </c>
      <c r="AP8" s="214">
        <v>212</v>
      </c>
      <c r="AQ8" s="214">
        <v>64</v>
      </c>
      <c r="AR8" s="214">
        <v>149</v>
      </c>
      <c r="AS8" s="214">
        <v>56</v>
      </c>
      <c r="AT8" s="214">
        <v>149</v>
      </c>
      <c r="AU8" s="214">
        <v>74</v>
      </c>
      <c r="AV8" s="211"/>
      <c r="AW8" s="211">
        <v>205</v>
      </c>
      <c r="AX8" s="211">
        <v>70</v>
      </c>
      <c r="AY8" s="214" t="s">
        <v>241</v>
      </c>
      <c r="AZ8" s="214" t="s">
        <v>241</v>
      </c>
      <c r="BA8" s="8" t="s">
        <v>13</v>
      </c>
      <c r="BB8" s="217">
        <v>5</v>
      </c>
      <c r="BC8" s="217">
        <v>2</v>
      </c>
      <c r="BD8" s="217">
        <v>7</v>
      </c>
      <c r="BE8" s="217">
        <v>2</v>
      </c>
      <c r="BF8" s="217">
        <v>4</v>
      </c>
      <c r="BG8" s="217">
        <v>2</v>
      </c>
      <c r="BH8" s="217">
        <v>6</v>
      </c>
      <c r="BI8" s="217">
        <v>2</v>
      </c>
      <c r="BJ8" s="217">
        <v>4</v>
      </c>
      <c r="BK8" s="217">
        <v>2</v>
      </c>
      <c r="BL8" s="217">
        <v>6</v>
      </c>
      <c r="BM8" s="217">
        <v>4</v>
      </c>
      <c r="BN8" s="218" t="s">
        <v>241</v>
      </c>
      <c r="BO8" s="218">
        <v>5</v>
      </c>
      <c r="BP8" s="218">
        <v>2</v>
      </c>
      <c r="BQ8" s="217" t="s">
        <v>241</v>
      </c>
      <c r="BR8" s="217" t="s">
        <v>241</v>
      </c>
      <c r="BS8" s="217">
        <v>4</v>
      </c>
      <c r="BT8" s="217">
        <v>2</v>
      </c>
      <c r="BU8" s="217">
        <v>7</v>
      </c>
      <c r="BV8" s="217">
        <v>2</v>
      </c>
      <c r="BW8" s="217">
        <v>5</v>
      </c>
      <c r="BX8" s="217">
        <v>2</v>
      </c>
      <c r="BY8" s="217">
        <v>7</v>
      </c>
      <c r="BZ8" s="217">
        <v>2</v>
      </c>
      <c r="CA8" s="217">
        <v>5</v>
      </c>
      <c r="CB8" s="217">
        <v>2</v>
      </c>
      <c r="CC8" s="217">
        <v>6</v>
      </c>
      <c r="CD8" s="217">
        <v>3</v>
      </c>
      <c r="CE8" s="218" t="s">
        <v>241</v>
      </c>
      <c r="CF8" s="218">
        <v>7</v>
      </c>
      <c r="CG8" s="218">
        <v>2</v>
      </c>
      <c r="CH8" s="217" t="s">
        <v>241</v>
      </c>
      <c r="CI8" s="217" t="s">
        <v>241</v>
      </c>
      <c r="CJ8" s="217">
        <v>5</v>
      </c>
      <c r="CK8" s="217">
        <v>2</v>
      </c>
      <c r="CL8" s="217">
        <v>7</v>
      </c>
      <c r="CM8" s="217">
        <v>2</v>
      </c>
      <c r="CN8" s="217">
        <v>6</v>
      </c>
      <c r="CO8" s="217">
        <v>2</v>
      </c>
      <c r="CP8" s="217">
        <v>7</v>
      </c>
      <c r="CQ8" s="217">
        <v>2</v>
      </c>
      <c r="CR8" s="217">
        <v>5</v>
      </c>
      <c r="CS8" s="217">
        <v>2</v>
      </c>
      <c r="CT8" s="217">
        <v>6</v>
      </c>
      <c r="CU8" s="217">
        <v>3</v>
      </c>
      <c r="CV8" s="218"/>
      <c r="CW8" s="218">
        <v>7</v>
      </c>
      <c r="CX8" s="218">
        <v>3</v>
      </c>
      <c r="CY8" s="217" t="s">
        <v>241</v>
      </c>
      <c r="CZ8" s="217" t="s">
        <v>241</v>
      </c>
    </row>
    <row r="9" spans="1:111" x14ac:dyDescent="0.25">
      <c r="A9" s="8" t="s">
        <v>78</v>
      </c>
      <c r="B9" s="211"/>
      <c r="C9" s="211"/>
      <c r="D9" s="211"/>
      <c r="E9" s="211"/>
      <c r="F9" s="211"/>
      <c r="G9" s="211"/>
      <c r="H9" s="211"/>
      <c r="I9" s="211"/>
      <c r="J9" s="214">
        <v>104</v>
      </c>
      <c r="K9" s="214">
        <v>46</v>
      </c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4">
        <v>110</v>
      </c>
      <c r="AB9" s="214">
        <v>43</v>
      </c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4">
        <v>114</v>
      </c>
      <c r="AS9" s="214">
        <v>49</v>
      </c>
      <c r="AT9" s="211"/>
      <c r="AU9" s="211"/>
      <c r="AV9" s="211"/>
      <c r="AW9" s="211"/>
      <c r="AX9" s="211"/>
      <c r="AY9" s="211"/>
      <c r="AZ9" s="211"/>
      <c r="BA9" s="8" t="s">
        <v>78</v>
      </c>
      <c r="BB9" s="218"/>
      <c r="BC9" s="218"/>
      <c r="BD9" s="218"/>
      <c r="BE9" s="218"/>
      <c r="BF9" s="218"/>
      <c r="BG9" s="218"/>
      <c r="BH9" s="218"/>
      <c r="BI9" s="218"/>
      <c r="BJ9" s="217">
        <v>4</v>
      </c>
      <c r="BK9" s="217">
        <v>2</v>
      </c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8"/>
      <c r="BX9" s="218"/>
      <c r="BY9" s="218"/>
      <c r="BZ9" s="218"/>
      <c r="CA9" s="217">
        <v>3</v>
      </c>
      <c r="CB9" s="217">
        <v>2</v>
      </c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/>
      <c r="CN9" s="218"/>
      <c r="CO9" s="218"/>
      <c r="CP9" s="218"/>
      <c r="CQ9" s="218"/>
      <c r="CR9" s="217">
        <v>4</v>
      </c>
      <c r="CS9" s="217">
        <v>2</v>
      </c>
      <c r="CT9" s="218"/>
      <c r="CU9" s="218"/>
      <c r="CV9" s="218"/>
      <c r="CW9" s="218"/>
      <c r="CX9" s="218"/>
      <c r="CY9" s="218"/>
      <c r="CZ9" s="218"/>
    </row>
    <row r="10" spans="1:111" x14ac:dyDescent="0.25">
      <c r="A10" s="8" t="s">
        <v>14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4">
        <v>157</v>
      </c>
      <c r="M10" s="211"/>
      <c r="N10" s="214">
        <v>148</v>
      </c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4">
        <v>135</v>
      </c>
      <c r="AD10" s="211" t="s">
        <v>241</v>
      </c>
      <c r="AE10" s="214">
        <v>177</v>
      </c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4">
        <v>158</v>
      </c>
      <c r="AU10" s="211" t="s">
        <v>241</v>
      </c>
      <c r="AV10" s="214">
        <v>155</v>
      </c>
      <c r="AW10" s="211"/>
      <c r="AX10" s="211"/>
      <c r="AY10" s="211"/>
      <c r="AZ10" s="211"/>
      <c r="BA10" s="8" t="s">
        <v>14</v>
      </c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7">
        <v>6</v>
      </c>
      <c r="BM10" s="218"/>
      <c r="BN10" s="217">
        <v>5</v>
      </c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7">
        <v>5</v>
      </c>
      <c r="CD10" s="218"/>
      <c r="CE10" s="217">
        <v>6</v>
      </c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7">
        <v>5</v>
      </c>
      <c r="CU10" s="218"/>
      <c r="CV10" s="217">
        <v>6</v>
      </c>
      <c r="CW10" s="218"/>
      <c r="CX10" s="218"/>
      <c r="CY10" s="218"/>
      <c r="CZ10" s="218"/>
    </row>
    <row r="11" spans="1:111" x14ac:dyDescent="0.25">
      <c r="A11" s="8" t="s">
        <v>79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4">
        <v>187</v>
      </c>
      <c r="O11" s="214">
        <v>122</v>
      </c>
      <c r="P11" s="214">
        <v>16</v>
      </c>
      <c r="Q11" s="214">
        <v>124</v>
      </c>
      <c r="R11" s="214">
        <v>46</v>
      </c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4">
        <v>181</v>
      </c>
      <c r="AF11" s="214">
        <v>136</v>
      </c>
      <c r="AG11" s="214">
        <v>22</v>
      </c>
      <c r="AH11" s="214">
        <v>199</v>
      </c>
      <c r="AI11" s="214">
        <v>56</v>
      </c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4">
        <v>184</v>
      </c>
      <c r="AW11" s="214">
        <v>168</v>
      </c>
      <c r="AX11" s="214">
        <v>19</v>
      </c>
      <c r="AY11" s="214">
        <v>188</v>
      </c>
      <c r="AZ11" s="214">
        <v>70</v>
      </c>
      <c r="BA11" s="8" t="s">
        <v>79</v>
      </c>
      <c r="BB11" s="218" t="s">
        <v>241</v>
      </c>
      <c r="BC11" s="218" t="s">
        <v>241</v>
      </c>
      <c r="BD11" s="218" t="s">
        <v>241</v>
      </c>
      <c r="BE11" s="218" t="s">
        <v>241</v>
      </c>
      <c r="BF11" s="218" t="s">
        <v>241</v>
      </c>
      <c r="BG11" s="218" t="s">
        <v>241</v>
      </c>
      <c r="BH11" s="218" t="s">
        <v>241</v>
      </c>
      <c r="BI11" s="218" t="s">
        <v>241</v>
      </c>
      <c r="BJ11" s="218" t="s">
        <v>241</v>
      </c>
      <c r="BK11" s="218" t="s">
        <v>241</v>
      </c>
      <c r="BL11" s="218" t="s">
        <v>241</v>
      </c>
      <c r="BM11" s="218" t="s">
        <v>241</v>
      </c>
      <c r="BN11" s="217">
        <v>7</v>
      </c>
      <c r="BO11" s="217">
        <v>4</v>
      </c>
      <c r="BP11" s="217">
        <v>1</v>
      </c>
      <c r="BQ11" s="217">
        <v>5</v>
      </c>
      <c r="BR11" s="217">
        <v>2</v>
      </c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7">
        <v>6</v>
      </c>
      <c r="CF11" s="217">
        <v>5</v>
      </c>
      <c r="CG11" s="217">
        <v>1</v>
      </c>
      <c r="CH11" s="217">
        <v>7</v>
      </c>
      <c r="CI11" s="217">
        <v>2</v>
      </c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7">
        <v>7</v>
      </c>
      <c r="CW11" s="217">
        <v>6</v>
      </c>
      <c r="CX11" s="217">
        <v>1</v>
      </c>
      <c r="CY11" s="217">
        <v>6</v>
      </c>
      <c r="CZ11" s="217">
        <v>3</v>
      </c>
    </row>
    <row r="12" spans="1:111" x14ac:dyDescent="0.25">
      <c r="A12" s="8" t="s">
        <v>29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  <c r="AT12" s="27">
        <v>0</v>
      </c>
      <c r="AU12" s="27">
        <v>0</v>
      </c>
      <c r="AV12" s="27">
        <v>0</v>
      </c>
      <c r="AW12" s="27">
        <v>0</v>
      </c>
      <c r="AX12" s="27">
        <v>0</v>
      </c>
      <c r="AY12" s="28">
        <v>0</v>
      </c>
      <c r="AZ12" s="28">
        <v>0</v>
      </c>
      <c r="BA12" s="8" t="s">
        <v>29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10">
        <v>0</v>
      </c>
      <c r="BZ12" s="10">
        <v>0</v>
      </c>
      <c r="CA12" s="10">
        <v>0</v>
      </c>
      <c r="CB12" s="10">
        <v>0</v>
      </c>
      <c r="CC12" s="10">
        <v>0</v>
      </c>
      <c r="CD12" s="10">
        <v>0</v>
      </c>
      <c r="CE12" s="10">
        <v>0</v>
      </c>
      <c r="CF12" s="10">
        <v>0</v>
      </c>
      <c r="CG12" s="10">
        <v>0</v>
      </c>
      <c r="CH12" s="10">
        <v>0</v>
      </c>
      <c r="CI12" s="10">
        <v>0</v>
      </c>
      <c r="CJ12" s="10">
        <v>0</v>
      </c>
      <c r="CK12" s="10">
        <v>0</v>
      </c>
      <c r="CL12" s="10">
        <v>0</v>
      </c>
      <c r="CM12" s="10">
        <v>0</v>
      </c>
      <c r="CN12" s="10">
        <v>0</v>
      </c>
      <c r="CO12" s="10">
        <v>0</v>
      </c>
      <c r="CP12" s="10">
        <v>0</v>
      </c>
      <c r="CQ12" s="10">
        <v>0</v>
      </c>
      <c r="CR12" s="10">
        <v>0</v>
      </c>
      <c r="CS12" s="10">
        <v>0</v>
      </c>
      <c r="CT12" s="10">
        <v>0</v>
      </c>
      <c r="CU12" s="10">
        <v>0</v>
      </c>
      <c r="CV12" s="10">
        <v>0</v>
      </c>
      <c r="CW12" s="10">
        <v>0</v>
      </c>
      <c r="CX12" s="10">
        <v>0</v>
      </c>
      <c r="CY12" s="10">
        <v>0</v>
      </c>
      <c r="CZ12" s="10">
        <v>0</v>
      </c>
    </row>
    <row r="16" spans="1:111" x14ac:dyDescent="0.25">
      <c r="A16" s="77" t="s">
        <v>140</v>
      </c>
      <c r="B16" s="77" t="s">
        <v>139</v>
      </c>
    </row>
    <row r="17" spans="1:52" x14ac:dyDescent="0.25">
      <c r="A17" s="9">
        <v>1</v>
      </c>
      <c r="B17" s="9">
        <v>2</v>
      </c>
      <c r="C17" s="9">
        <v>3</v>
      </c>
      <c r="D17" s="9">
        <v>4</v>
      </c>
      <c r="E17" s="9">
        <v>5</v>
      </c>
      <c r="F17" s="9">
        <v>6</v>
      </c>
      <c r="G17" s="9">
        <v>7</v>
      </c>
      <c r="H17" s="9">
        <v>8</v>
      </c>
      <c r="I17" s="9">
        <v>9</v>
      </c>
      <c r="J17" s="9">
        <v>10</v>
      </c>
      <c r="K17" s="9">
        <v>11</v>
      </c>
      <c r="L17" s="9">
        <v>12</v>
      </c>
      <c r="M17" s="9">
        <v>13</v>
      </c>
      <c r="N17" s="9">
        <v>14</v>
      </c>
      <c r="O17" s="9">
        <v>15</v>
      </c>
      <c r="P17" s="9">
        <v>16</v>
      </c>
      <c r="Q17" s="9">
        <v>17</v>
      </c>
      <c r="R17" s="9">
        <v>18</v>
      </c>
      <c r="S17" s="9">
        <v>19</v>
      </c>
      <c r="T17" s="9">
        <v>20</v>
      </c>
      <c r="U17" s="9">
        <v>21</v>
      </c>
      <c r="V17" s="9">
        <v>22</v>
      </c>
      <c r="W17" s="9">
        <v>23</v>
      </c>
      <c r="X17" s="9">
        <v>24</v>
      </c>
      <c r="Y17" s="9">
        <v>25</v>
      </c>
      <c r="Z17" s="9">
        <v>26</v>
      </c>
      <c r="AA17" s="9">
        <v>27</v>
      </c>
      <c r="AB17" s="9">
        <v>28</v>
      </c>
      <c r="AC17" s="9">
        <v>29</v>
      </c>
      <c r="AD17" s="9">
        <v>30</v>
      </c>
      <c r="AE17" s="9">
        <v>31</v>
      </c>
      <c r="AF17" s="9">
        <v>32</v>
      </c>
      <c r="AG17" s="9">
        <v>33</v>
      </c>
      <c r="AH17" s="9">
        <v>34</v>
      </c>
      <c r="AI17" s="9">
        <v>35</v>
      </c>
      <c r="AJ17" s="9">
        <v>36</v>
      </c>
      <c r="AK17" s="9">
        <v>37</v>
      </c>
      <c r="AL17" s="9">
        <v>38</v>
      </c>
      <c r="AM17" s="9">
        <v>39</v>
      </c>
      <c r="AN17" s="9">
        <v>40</v>
      </c>
      <c r="AO17" s="9">
        <v>41</v>
      </c>
      <c r="AP17" s="9">
        <v>42</v>
      </c>
      <c r="AQ17" s="9">
        <v>43</v>
      </c>
      <c r="AR17" s="9">
        <v>44</v>
      </c>
      <c r="AS17" s="9">
        <v>45</v>
      </c>
      <c r="AT17" s="9">
        <v>46</v>
      </c>
      <c r="AU17" s="9">
        <v>47</v>
      </c>
      <c r="AV17" s="9">
        <v>48</v>
      </c>
      <c r="AW17" s="9">
        <v>49</v>
      </c>
      <c r="AX17" s="9">
        <v>50</v>
      </c>
      <c r="AY17" s="9">
        <v>51</v>
      </c>
      <c r="AZ17" s="9">
        <v>52</v>
      </c>
    </row>
    <row r="18" spans="1:52" ht="33" x14ac:dyDescent="0.25">
      <c r="A18" s="5" t="s">
        <v>27</v>
      </c>
      <c r="B18" s="23" t="s">
        <v>63</v>
      </c>
      <c r="C18" s="23" t="s">
        <v>63</v>
      </c>
      <c r="D18" s="23" t="s">
        <v>66</v>
      </c>
      <c r="E18" s="23" t="s">
        <v>66</v>
      </c>
      <c r="F18" s="23" t="s">
        <v>68</v>
      </c>
      <c r="G18" s="23" t="s">
        <v>68</v>
      </c>
      <c r="H18" s="23" t="s">
        <v>67</v>
      </c>
      <c r="I18" s="23" t="s">
        <v>67</v>
      </c>
      <c r="J18" s="23" t="s">
        <v>72</v>
      </c>
      <c r="K18" s="23" t="s">
        <v>72</v>
      </c>
      <c r="L18" s="42" t="s">
        <v>69</v>
      </c>
      <c r="M18" s="42" t="s">
        <v>70</v>
      </c>
      <c r="N18" s="42" t="s">
        <v>71</v>
      </c>
      <c r="O18" s="42" t="s">
        <v>73</v>
      </c>
      <c r="P18" s="42" t="s">
        <v>73</v>
      </c>
      <c r="Q18" s="42" t="s">
        <v>73</v>
      </c>
      <c r="R18" s="42" t="s">
        <v>73</v>
      </c>
      <c r="S18" s="23" t="s">
        <v>63</v>
      </c>
      <c r="T18" s="23" t="s">
        <v>63</v>
      </c>
      <c r="U18" s="23" t="s">
        <v>66</v>
      </c>
      <c r="V18" s="23" t="s">
        <v>66</v>
      </c>
      <c r="W18" s="23" t="s">
        <v>68</v>
      </c>
      <c r="X18" s="23" t="s">
        <v>68</v>
      </c>
      <c r="Y18" s="23" t="s">
        <v>67</v>
      </c>
      <c r="Z18" s="23" t="s">
        <v>67</v>
      </c>
      <c r="AA18" s="23" t="s">
        <v>72</v>
      </c>
      <c r="AB18" s="23" t="s">
        <v>72</v>
      </c>
      <c r="AC18" s="42" t="s">
        <v>69</v>
      </c>
      <c r="AD18" s="42" t="s">
        <v>70</v>
      </c>
      <c r="AE18" s="42" t="s">
        <v>71</v>
      </c>
      <c r="AF18" s="42" t="s">
        <v>73</v>
      </c>
      <c r="AG18" s="42" t="s">
        <v>73</v>
      </c>
      <c r="AH18" s="42" t="s">
        <v>73</v>
      </c>
      <c r="AI18" s="42" t="s">
        <v>73</v>
      </c>
      <c r="AJ18" s="23" t="s">
        <v>63</v>
      </c>
      <c r="AK18" s="23" t="s">
        <v>63</v>
      </c>
      <c r="AL18" s="23" t="s">
        <v>66</v>
      </c>
      <c r="AM18" s="23" t="s">
        <v>66</v>
      </c>
      <c r="AN18" s="23" t="s">
        <v>68</v>
      </c>
      <c r="AO18" s="23" t="s">
        <v>68</v>
      </c>
      <c r="AP18" s="23" t="s">
        <v>67</v>
      </c>
      <c r="AQ18" s="23" t="s">
        <v>67</v>
      </c>
      <c r="AR18" s="23" t="s">
        <v>72</v>
      </c>
      <c r="AS18" s="23" t="s">
        <v>72</v>
      </c>
      <c r="AT18" s="42" t="s">
        <v>69</v>
      </c>
      <c r="AU18" s="42" t="s">
        <v>70</v>
      </c>
      <c r="AV18" s="42" t="s">
        <v>71</v>
      </c>
      <c r="AW18" s="42" t="s">
        <v>73</v>
      </c>
      <c r="AX18" s="42" t="s">
        <v>73</v>
      </c>
      <c r="AY18" s="42" t="s">
        <v>73</v>
      </c>
      <c r="AZ18" s="42" t="s">
        <v>73</v>
      </c>
    </row>
    <row r="19" spans="1:52" x14ac:dyDescent="0.25">
      <c r="A19" s="6" t="s">
        <v>28</v>
      </c>
      <c r="B19" s="24">
        <v>7</v>
      </c>
      <c r="C19" s="24">
        <v>7</v>
      </c>
      <c r="D19" s="24">
        <v>7</v>
      </c>
      <c r="E19" s="24">
        <v>7</v>
      </c>
      <c r="F19" s="24">
        <v>7</v>
      </c>
      <c r="G19" s="24">
        <v>7</v>
      </c>
      <c r="H19" s="24">
        <v>7</v>
      </c>
      <c r="I19" s="24">
        <v>7</v>
      </c>
      <c r="J19" s="24">
        <v>7</v>
      </c>
      <c r="K19" s="24">
        <v>7</v>
      </c>
      <c r="L19" s="24">
        <v>7</v>
      </c>
      <c r="M19" s="24">
        <v>7</v>
      </c>
      <c r="N19" s="24">
        <v>7</v>
      </c>
      <c r="O19" s="24">
        <v>7</v>
      </c>
      <c r="P19" s="24">
        <v>7</v>
      </c>
      <c r="Q19" s="24">
        <v>7</v>
      </c>
      <c r="R19" s="24">
        <v>7</v>
      </c>
      <c r="S19" s="24">
        <v>8</v>
      </c>
      <c r="T19" s="24">
        <v>8</v>
      </c>
      <c r="U19" s="24">
        <v>8</v>
      </c>
      <c r="V19" s="24">
        <v>8</v>
      </c>
      <c r="W19" s="24">
        <v>8</v>
      </c>
      <c r="X19" s="24">
        <v>8</v>
      </c>
      <c r="Y19" s="24">
        <v>8</v>
      </c>
      <c r="Z19" s="24">
        <v>8</v>
      </c>
      <c r="AA19" s="24">
        <v>8</v>
      </c>
      <c r="AB19" s="24">
        <v>8</v>
      </c>
      <c r="AC19" s="24">
        <v>8</v>
      </c>
      <c r="AD19" s="24">
        <v>8</v>
      </c>
      <c r="AE19" s="24">
        <v>8</v>
      </c>
      <c r="AF19" s="24">
        <v>8</v>
      </c>
      <c r="AG19" s="24">
        <v>8</v>
      </c>
      <c r="AH19" s="24">
        <v>8</v>
      </c>
      <c r="AI19" s="24">
        <v>8</v>
      </c>
      <c r="AJ19" s="24">
        <v>9</v>
      </c>
      <c r="AK19" s="24">
        <v>9</v>
      </c>
      <c r="AL19" s="24">
        <v>9</v>
      </c>
      <c r="AM19" s="24">
        <v>9</v>
      </c>
      <c r="AN19" s="24">
        <v>9</v>
      </c>
      <c r="AO19" s="24">
        <v>9</v>
      </c>
      <c r="AP19" s="24">
        <v>9</v>
      </c>
      <c r="AQ19" s="24">
        <v>9</v>
      </c>
      <c r="AR19" s="24">
        <v>9</v>
      </c>
      <c r="AS19" s="24">
        <v>9</v>
      </c>
      <c r="AT19" s="24">
        <v>9</v>
      </c>
      <c r="AU19" s="24">
        <v>9</v>
      </c>
      <c r="AV19" s="24">
        <v>9</v>
      </c>
      <c r="AW19" s="24">
        <v>9</v>
      </c>
      <c r="AX19" s="24">
        <v>9</v>
      </c>
      <c r="AY19" s="24">
        <v>9</v>
      </c>
      <c r="AZ19" s="24">
        <v>9</v>
      </c>
    </row>
    <row r="20" spans="1:52" x14ac:dyDescent="0.25">
      <c r="A20" s="6" t="s">
        <v>24</v>
      </c>
      <c r="B20" s="23" t="s">
        <v>64</v>
      </c>
      <c r="C20" s="23" t="s">
        <v>65</v>
      </c>
      <c r="D20" s="23" t="s">
        <v>64</v>
      </c>
      <c r="E20" s="23" t="s">
        <v>65</v>
      </c>
      <c r="F20" s="23" t="s">
        <v>64</v>
      </c>
      <c r="G20" s="23" t="s">
        <v>65</v>
      </c>
      <c r="H20" s="23" t="s">
        <v>64</v>
      </c>
      <c r="I20" s="23" t="s">
        <v>65</v>
      </c>
      <c r="J20" s="23" t="s">
        <v>64</v>
      </c>
      <c r="K20" s="23" t="s">
        <v>65</v>
      </c>
      <c r="L20" s="23" t="s">
        <v>64</v>
      </c>
      <c r="M20" s="23" t="s">
        <v>64</v>
      </c>
      <c r="N20" s="23" t="s">
        <v>64</v>
      </c>
      <c r="O20" s="23" t="s">
        <v>64</v>
      </c>
      <c r="P20" s="23" t="s">
        <v>65</v>
      </c>
      <c r="Q20" s="23" t="s">
        <v>64</v>
      </c>
      <c r="R20" s="23" t="s">
        <v>65</v>
      </c>
      <c r="S20" s="23" t="s">
        <v>64</v>
      </c>
      <c r="T20" s="23" t="s">
        <v>65</v>
      </c>
      <c r="U20" s="23" t="s">
        <v>64</v>
      </c>
      <c r="V20" s="23" t="s">
        <v>65</v>
      </c>
      <c r="W20" s="23" t="s">
        <v>64</v>
      </c>
      <c r="X20" s="23" t="s">
        <v>65</v>
      </c>
      <c r="Y20" s="23" t="s">
        <v>64</v>
      </c>
      <c r="Z20" s="23" t="s">
        <v>65</v>
      </c>
      <c r="AA20" s="23" t="s">
        <v>64</v>
      </c>
      <c r="AB20" s="23" t="s">
        <v>65</v>
      </c>
      <c r="AC20" s="23" t="s">
        <v>64</v>
      </c>
      <c r="AD20" s="23" t="s">
        <v>64</v>
      </c>
      <c r="AE20" s="23" t="s">
        <v>64</v>
      </c>
      <c r="AF20" s="23" t="s">
        <v>64</v>
      </c>
      <c r="AG20" s="23" t="s">
        <v>65</v>
      </c>
      <c r="AH20" s="23" t="s">
        <v>64</v>
      </c>
      <c r="AI20" s="23" t="s">
        <v>65</v>
      </c>
      <c r="AJ20" s="23" t="s">
        <v>64</v>
      </c>
      <c r="AK20" s="23" t="s">
        <v>65</v>
      </c>
      <c r="AL20" s="23" t="s">
        <v>64</v>
      </c>
      <c r="AM20" s="23" t="s">
        <v>65</v>
      </c>
      <c r="AN20" s="23" t="s">
        <v>64</v>
      </c>
      <c r="AO20" s="23" t="s">
        <v>65</v>
      </c>
      <c r="AP20" s="23" t="s">
        <v>64</v>
      </c>
      <c r="AQ20" s="23" t="s">
        <v>65</v>
      </c>
      <c r="AR20" s="23" t="s">
        <v>64</v>
      </c>
      <c r="AS20" s="23" t="s">
        <v>65</v>
      </c>
      <c r="AT20" s="23" t="s">
        <v>64</v>
      </c>
      <c r="AU20" s="23" t="s">
        <v>64</v>
      </c>
      <c r="AV20" s="23" t="s">
        <v>64</v>
      </c>
      <c r="AW20" s="23" t="s">
        <v>64</v>
      </c>
      <c r="AX20" s="23" t="s">
        <v>65</v>
      </c>
      <c r="AY20" s="23" t="s">
        <v>64</v>
      </c>
      <c r="AZ20" s="23" t="s">
        <v>65</v>
      </c>
    </row>
    <row r="21" spans="1:52" x14ac:dyDescent="0.25">
      <c r="A21" s="8" t="s">
        <v>10</v>
      </c>
      <c r="B21" s="25" t="s">
        <v>76</v>
      </c>
      <c r="C21" s="25" t="s">
        <v>76</v>
      </c>
      <c r="D21" s="25" t="s">
        <v>76</v>
      </c>
      <c r="E21" s="25" t="s">
        <v>76</v>
      </c>
      <c r="F21" s="25" t="s">
        <v>76</v>
      </c>
      <c r="G21" s="25" t="s">
        <v>76</v>
      </c>
      <c r="H21" s="25" t="s">
        <v>76</v>
      </c>
      <c r="I21" s="25" t="s">
        <v>76</v>
      </c>
      <c r="J21" s="25" t="s">
        <v>76</v>
      </c>
      <c r="K21" s="25" t="s">
        <v>76</v>
      </c>
      <c r="L21" s="25" t="s">
        <v>76</v>
      </c>
      <c r="M21" s="25" t="s">
        <v>76</v>
      </c>
      <c r="N21" s="25" t="s">
        <v>76</v>
      </c>
      <c r="O21" s="25" t="s">
        <v>76</v>
      </c>
      <c r="P21" s="25" t="s">
        <v>76</v>
      </c>
      <c r="Q21" s="25" t="s">
        <v>76</v>
      </c>
      <c r="R21" s="25" t="s">
        <v>76</v>
      </c>
      <c r="S21" s="25" t="s">
        <v>76</v>
      </c>
      <c r="T21" s="25" t="s">
        <v>76</v>
      </c>
      <c r="U21" s="25" t="s">
        <v>76</v>
      </c>
      <c r="V21" s="25" t="s">
        <v>76</v>
      </c>
      <c r="W21" s="25" t="s">
        <v>76</v>
      </c>
      <c r="X21" s="25" t="s">
        <v>76</v>
      </c>
      <c r="Y21" s="25" t="s">
        <v>76</v>
      </c>
      <c r="Z21" s="25" t="s">
        <v>76</v>
      </c>
      <c r="AA21" s="25" t="s">
        <v>76</v>
      </c>
      <c r="AB21" s="25" t="s">
        <v>76</v>
      </c>
      <c r="AC21" s="25" t="s">
        <v>76</v>
      </c>
      <c r="AD21" s="25" t="s">
        <v>76</v>
      </c>
      <c r="AE21" s="25" t="s">
        <v>76</v>
      </c>
      <c r="AF21" s="25" t="s">
        <v>76</v>
      </c>
      <c r="AG21" s="25" t="s">
        <v>76</v>
      </c>
      <c r="AH21" s="25" t="s">
        <v>76</v>
      </c>
      <c r="AI21" s="25" t="s">
        <v>76</v>
      </c>
      <c r="AJ21" s="25" t="s">
        <v>76</v>
      </c>
      <c r="AK21" s="25" t="s">
        <v>76</v>
      </c>
      <c r="AL21" s="25" t="s">
        <v>76</v>
      </c>
      <c r="AM21" s="25" t="s">
        <v>76</v>
      </c>
      <c r="AN21" s="25" t="s">
        <v>76</v>
      </c>
      <c r="AO21" s="25" t="s">
        <v>76</v>
      </c>
      <c r="AP21" s="25" t="s">
        <v>76</v>
      </c>
      <c r="AQ21" s="25" t="s">
        <v>76</v>
      </c>
      <c r="AR21" s="25" t="s">
        <v>76</v>
      </c>
      <c r="AS21" s="25" t="s">
        <v>76</v>
      </c>
      <c r="AT21" s="25" t="s">
        <v>76</v>
      </c>
      <c r="AU21" s="25" t="s">
        <v>76</v>
      </c>
      <c r="AV21" s="25" t="s">
        <v>76</v>
      </c>
      <c r="AW21" s="25" t="s">
        <v>76</v>
      </c>
      <c r="AX21" s="25" t="s">
        <v>76</v>
      </c>
      <c r="AY21" s="25" t="s">
        <v>76</v>
      </c>
      <c r="AZ21" s="25" t="s">
        <v>76</v>
      </c>
    </row>
    <row r="22" spans="1:52" x14ac:dyDescent="0.25">
      <c r="A22" s="8" t="s">
        <v>46</v>
      </c>
      <c r="B22" s="215">
        <v>123</v>
      </c>
      <c r="C22" s="215">
        <v>63</v>
      </c>
      <c r="D22" s="215">
        <v>182</v>
      </c>
      <c r="E22" s="215">
        <v>65</v>
      </c>
      <c r="F22" s="215">
        <v>137</v>
      </c>
      <c r="G22" s="215">
        <v>59</v>
      </c>
      <c r="H22" s="215">
        <v>150</v>
      </c>
      <c r="I22" s="215">
        <v>52</v>
      </c>
      <c r="J22" s="215">
        <v>100</v>
      </c>
      <c r="K22" s="215">
        <v>42</v>
      </c>
      <c r="L22" s="215">
        <v>133</v>
      </c>
      <c r="M22" s="215">
        <v>92</v>
      </c>
      <c r="N22" s="215">
        <v>158</v>
      </c>
      <c r="O22" s="216">
        <v>193</v>
      </c>
      <c r="P22" s="216">
        <v>70</v>
      </c>
      <c r="Q22" s="215" t="s">
        <v>241</v>
      </c>
      <c r="R22" s="215" t="s">
        <v>241</v>
      </c>
      <c r="S22" s="215">
        <v>121</v>
      </c>
      <c r="T22" s="215">
        <v>61</v>
      </c>
      <c r="U22" s="215">
        <v>193</v>
      </c>
      <c r="V22" s="215">
        <v>72</v>
      </c>
      <c r="W22" s="215">
        <v>144</v>
      </c>
      <c r="X22" s="215">
        <v>53</v>
      </c>
      <c r="Y22" s="215">
        <v>121</v>
      </c>
      <c r="Z22" s="215">
        <v>57</v>
      </c>
      <c r="AA22" s="215">
        <v>107</v>
      </c>
      <c r="AB22" s="215">
        <v>42</v>
      </c>
      <c r="AC22" s="215">
        <v>133</v>
      </c>
      <c r="AD22" s="215">
        <v>81</v>
      </c>
      <c r="AE22" s="215">
        <v>156</v>
      </c>
      <c r="AF22" s="216">
        <v>179</v>
      </c>
      <c r="AG22" s="216">
        <v>70</v>
      </c>
      <c r="AH22" s="215" t="s">
        <v>241</v>
      </c>
      <c r="AI22" s="215" t="s">
        <v>241</v>
      </c>
      <c r="AJ22" s="215">
        <v>116</v>
      </c>
      <c r="AK22" s="215">
        <v>61</v>
      </c>
      <c r="AL22" s="215">
        <v>186</v>
      </c>
      <c r="AM22" s="215">
        <v>68</v>
      </c>
      <c r="AN22" s="215">
        <v>149</v>
      </c>
      <c r="AO22" s="215">
        <v>59</v>
      </c>
      <c r="AP22" s="215">
        <v>135</v>
      </c>
      <c r="AQ22" s="215">
        <v>49</v>
      </c>
      <c r="AR22" s="215">
        <v>109</v>
      </c>
      <c r="AS22" s="215">
        <v>47</v>
      </c>
      <c r="AT22" s="215">
        <v>137</v>
      </c>
      <c r="AU22" s="215">
        <v>84</v>
      </c>
      <c r="AV22" s="215">
        <v>151</v>
      </c>
      <c r="AW22" s="216">
        <v>155</v>
      </c>
      <c r="AX22" s="216">
        <v>77</v>
      </c>
      <c r="AY22" s="215" t="s">
        <v>241</v>
      </c>
      <c r="AZ22" s="215" t="s">
        <v>241</v>
      </c>
    </row>
    <row r="23" spans="1:52" x14ac:dyDescent="0.25">
      <c r="A23" s="8" t="s">
        <v>12</v>
      </c>
      <c r="B23" s="215">
        <v>114</v>
      </c>
      <c r="C23" s="215">
        <v>70</v>
      </c>
      <c r="D23" s="215">
        <v>188</v>
      </c>
      <c r="E23" s="215">
        <v>52</v>
      </c>
      <c r="F23" s="215">
        <v>133</v>
      </c>
      <c r="G23" s="215">
        <v>57</v>
      </c>
      <c r="H23" s="215">
        <v>148</v>
      </c>
      <c r="I23" s="215">
        <v>56</v>
      </c>
      <c r="J23" s="216" t="s">
        <v>241</v>
      </c>
      <c r="K23" s="216" t="s">
        <v>241</v>
      </c>
      <c r="L23" s="215">
        <v>126</v>
      </c>
      <c r="M23" s="215">
        <v>85</v>
      </c>
      <c r="N23" s="215">
        <v>151</v>
      </c>
      <c r="O23" s="216">
        <v>193</v>
      </c>
      <c r="P23" s="216">
        <v>73</v>
      </c>
      <c r="Q23" s="215" t="s">
        <v>241</v>
      </c>
      <c r="R23" s="215" t="s">
        <v>241</v>
      </c>
      <c r="S23" s="215">
        <v>128</v>
      </c>
      <c r="T23" s="215">
        <v>70</v>
      </c>
      <c r="U23" s="215">
        <v>169</v>
      </c>
      <c r="V23" s="215">
        <v>56</v>
      </c>
      <c r="W23" s="215">
        <v>130</v>
      </c>
      <c r="X23" s="215">
        <v>62</v>
      </c>
      <c r="Y23" s="215">
        <v>157</v>
      </c>
      <c r="Z23" s="215">
        <v>54</v>
      </c>
      <c r="AA23" s="216" t="s">
        <v>241</v>
      </c>
      <c r="AB23" s="216" t="s">
        <v>241</v>
      </c>
      <c r="AC23" s="215">
        <v>148</v>
      </c>
      <c r="AD23" s="215">
        <v>84</v>
      </c>
      <c r="AE23" s="215">
        <v>169</v>
      </c>
      <c r="AF23" s="216">
        <v>176</v>
      </c>
      <c r="AG23" s="216">
        <v>56</v>
      </c>
      <c r="AH23" s="215" t="s">
        <v>241</v>
      </c>
      <c r="AI23" s="215" t="s">
        <v>241</v>
      </c>
      <c r="AJ23" s="215">
        <v>126</v>
      </c>
      <c r="AK23" s="215">
        <v>65</v>
      </c>
      <c r="AL23" s="215">
        <v>164</v>
      </c>
      <c r="AM23" s="215">
        <v>49</v>
      </c>
      <c r="AN23" s="215">
        <v>144</v>
      </c>
      <c r="AO23" s="215">
        <v>60</v>
      </c>
      <c r="AP23" s="215">
        <v>156</v>
      </c>
      <c r="AQ23" s="215">
        <v>69</v>
      </c>
      <c r="AR23" s="216" t="s">
        <v>241</v>
      </c>
      <c r="AS23" s="216" t="s">
        <v>241</v>
      </c>
      <c r="AT23" s="215">
        <v>190</v>
      </c>
      <c r="AU23" s="215">
        <v>99</v>
      </c>
      <c r="AV23" s="215">
        <v>159</v>
      </c>
      <c r="AW23" s="216">
        <v>197</v>
      </c>
      <c r="AX23" s="216">
        <v>51</v>
      </c>
      <c r="AY23" s="215" t="s">
        <v>241</v>
      </c>
      <c r="AZ23" s="215" t="s">
        <v>241</v>
      </c>
    </row>
    <row r="24" spans="1:52" x14ac:dyDescent="0.25">
      <c r="A24" s="8" t="s">
        <v>13</v>
      </c>
      <c r="B24" s="215">
        <v>129</v>
      </c>
      <c r="C24" s="215">
        <v>60</v>
      </c>
      <c r="D24" s="215">
        <v>202</v>
      </c>
      <c r="E24" s="215">
        <v>47</v>
      </c>
      <c r="F24" s="215">
        <v>126</v>
      </c>
      <c r="G24" s="215">
        <v>49</v>
      </c>
      <c r="H24" s="215">
        <v>188</v>
      </c>
      <c r="I24" s="215">
        <v>67</v>
      </c>
      <c r="J24" s="215">
        <v>131</v>
      </c>
      <c r="K24" s="215">
        <v>48</v>
      </c>
      <c r="L24" s="215">
        <v>166</v>
      </c>
      <c r="M24" s="215">
        <v>109</v>
      </c>
      <c r="N24" s="216" t="s">
        <v>241</v>
      </c>
      <c r="O24" s="216">
        <v>155</v>
      </c>
      <c r="P24" s="216">
        <v>44</v>
      </c>
      <c r="Q24" s="215" t="s">
        <v>241</v>
      </c>
      <c r="R24" s="215" t="s">
        <v>241</v>
      </c>
      <c r="S24" s="215">
        <v>136</v>
      </c>
      <c r="T24" s="215">
        <v>72</v>
      </c>
      <c r="U24" s="215">
        <v>214</v>
      </c>
      <c r="V24" s="215">
        <v>59</v>
      </c>
      <c r="W24" s="215">
        <v>162</v>
      </c>
      <c r="X24" s="215">
        <v>63</v>
      </c>
      <c r="Y24" s="215">
        <v>205</v>
      </c>
      <c r="Z24" s="215">
        <v>66</v>
      </c>
      <c r="AA24" s="215">
        <v>140</v>
      </c>
      <c r="AB24" s="215">
        <v>60</v>
      </c>
      <c r="AC24" s="215">
        <v>176</v>
      </c>
      <c r="AD24" s="215">
        <v>88</v>
      </c>
      <c r="AE24" s="216" t="s">
        <v>241</v>
      </c>
      <c r="AF24" s="216">
        <v>217</v>
      </c>
      <c r="AG24" s="216">
        <v>56</v>
      </c>
      <c r="AH24" s="215" t="s">
        <v>241</v>
      </c>
      <c r="AI24" s="215" t="s">
        <v>241</v>
      </c>
      <c r="AJ24" s="215">
        <v>138</v>
      </c>
      <c r="AK24" s="215">
        <v>62</v>
      </c>
      <c r="AL24" s="215">
        <v>222</v>
      </c>
      <c r="AM24" s="215">
        <v>48</v>
      </c>
      <c r="AN24" s="215">
        <v>163</v>
      </c>
      <c r="AO24" s="215">
        <v>51</v>
      </c>
      <c r="AP24" s="215">
        <v>219</v>
      </c>
      <c r="AQ24" s="215">
        <v>66</v>
      </c>
      <c r="AR24" s="215">
        <v>154</v>
      </c>
      <c r="AS24" s="215">
        <v>58</v>
      </c>
      <c r="AT24" s="215">
        <v>155</v>
      </c>
      <c r="AU24" s="215">
        <v>77</v>
      </c>
      <c r="AV24" s="216"/>
      <c r="AW24" s="216">
        <v>212</v>
      </c>
      <c r="AX24" s="216">
        <v>73</v>
      </c>
      <c r="AY24" s="215" t="s">
        <v>241</v>
      </c>
      <c r="AZ24" s="215" t="s">
        <v>241</v>
      </c>
    </row>
    <row r="25" spans="1:52" x14ac:dyDescent="0.25">
      <c r="A25" s="8" t="s">
        <v>78</v>
      </c>
      <c r="B25" s="216"/>
      <c r="C25" s="216"/>
      <c r="D25" s="216"/>
      <c r="E25" s="216"/>
      <c r="F25" s="216"/>
      <c r="G25" s="216"/>
      <c r="H25" s="216"/>
      <c r="I25" s="216"/>
      <c r="J25" s="215">
        <v>108</v>
      </c>
      <c r="K25" s="215">
        <v>48</v>
      </c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5">
        <v>113</v>
      </c>
      <c r="AB25" s="215">
        <v>45</v>
      </c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5">
        <v>118</v>
      </c>
      <c r="AS25" s="215">
        <v>51</v>
      </c>
      <c r="AT25" s="216"/>
      <c r="AU25" s="216"/>
      <c r="AV25" s="216"/>
      <c r="AW25" s="216"/>
      <c r="AX25" s="216"/>
      <c r="AY25" s="216"/>
      <c r="AZ25" s="216"/>
    </row>
    <row r="26" spans="1:52" x14ac:dyDescent="0.25">
      <c r="A26" s="8" t="s">
        <v>14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5">
        <v>163</v>
      </c>
      <c r="M26" s="216"/>
      <c r="N26" s="215">
        <v>153</v>
      </c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5">
        <v>140</v>
      </c>
      <c r="AD26" s="216"/>
      <c r="AE26" s="215">
        <v>183</v>
      </c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6"/>
      <c r="AT26" s="215">
        <v>163</v>
      </c>
      <c r="AU26" s="216"/>
      <c r="AV26" s="215">
        <v>161</v>
      </c>
      <c r="AW26" s="216"/>
      <c r="AX26" s="216"/>
      <c r="AY26" s="216"/>
      <c r="AZ26" s="216"/>
    </row>
    <row r="27" spans="1:52" x14ac:dyDescent="0.25">
      <c r="A27" s="8" t="s">
        <v>79</v>
      </c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5">
        <v>194</v>
      </c>
      <c r="O27" s="215">
        <v>126</v>
      </c>
      <c r="P27" s="215">
        <v>17</v>
      </c>
      <c r="Q27" s="215">
        <v>129</v>
      </c>
      <c r="R27" s="215">
        <v>48</v>
      </c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5">
        <v>187</v>
      </c>
      <c r="AF27" s="215">
        <v>141</v>
      </c>
      <c r="AG27" s="215">
        <v>23</v>
      </c>
      <c r="AH27" s="215">
        <v>206</v>
      </c>
      <c r="AI27" s="215">
        <v>58</v>
      </c>
      <c r="AJ27" s="216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5">
        <v>191</v>
      </c>
      <c r="AW27" s="215">
        <v>174</v>
      </c>
      <c r="AX27" s="215">
        <v>20</v>
      </c>
      <c r="AY27" s="215">
        <v>194</v>
      </c>
      <c r="AZ27" s="215">
        <v>73</v>
      </c>
    </row>
    <row r="28" spans="1:52" x14ac:dyDescent="0.25">
      <c r="A28" s="8" t="s">
        <v>29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  <c r="AI28" s="27">
        <v>0</v>
      </c>
      <c r="AJ28" s="27">
        <v>0</v>
      </c>
      <c r="AK28" s="27">
        <v>0</v>
      </c>
      <c r="AL28" s="27">
        <v>0</v>
      </c>
      <c r="AM28" s="27">
        <v>0</v>
      </c>
      <c r="AN28" s="27">
        <v>0</v>
      </c>
      <c r="AO28" s="27">
        <v>0</v>
      </c>
      <c r="AP28" s="27">
        <v>0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7">
        <v>0</v>
      </c>
      <c r="AX28" s="27">
        <v>0</v>
      </c>
      <c r="AY28" s="28">
        <v>0</v>
      </c>
      <c r="AZ28" s="28">
        <v>0</v>
      </c>
    </row>
  </sheetData>
  <sheetProtection selectLockedCells="1" selectUnlockedCells="1"/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"/>
  <sheetViews>
    <sheetView workbookViewId="0"/>
  </sheetViews>
  <sheetFormatPr defaultRowHeight="14.25" x14ac:dyDescent="0.25"/>
  <cols>
    <col min="1" max="2" width="40.33203125" bestFit="1" customWidth="1"/>
  </cols>
  <sheetData>
    <row r="1" spans="1:2" x14ac:dyDescent="0.25">
      <c r="A1" t="s">
        <v>7</v>
      </c>
      <c r="B1" t="s">
        <v>8</v>
      </c>
    </row>
    <row r="2" spans="1:2" x14ac:dyDescent="0.25">
      <c r="A2" t="s">
        <v>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3</vt:i4>
      </vt:variant>
    </vt:vector>
  </HeadingPairs>
  <TitlesOfParts>
    <vt:vector size="9" baseType="lpstr">
      <vt:lpstr>統計表</vt:lpstr>
      <vt:lpstr>汰換年相反</vt:lpstr>
      <vt:lpstr>花東B表</vt:lpstr>
      <vt:lpstr>單價表</vt:lpstr>
      <vt:lpstr>工作表3</vt:lpstr>
      <vt:lpstr>抬頭</vt:lpstr>
      <vt:lpstr>汰換年相反!Print_Area</vt:lpstr>
      <vt:lpstr>統計表!Print_Area</vt:lpstr>
      <vt:lpstr>版本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陳香茹</dc:creator>
  <cp:lastModifiedBy>教育處-006</cp:lastModifiedBy>
  <cp:lastPrinted>2024-09-09T01:26:11Z</cp:lastPrinted>
  <dcterms:created xsi:type="dcterms:W3CDTF">2021-09-06T06:24:56Z</dcterms:created>
  <dcterms:modified xsi:type="dcterms:W3CDTF">2024-09-09T01:59:49Z</dcterms:modified>
</cp:coreProperties>
</file>