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" yWindow="-13" windowWidth="24067" windowHeight="5046"/>
  </bookViews>
  <sheets>
    <sheet name="統計表" sheetId="4" r:id="rId1"/>
    <sheet name="AB表" sheetId="6" r:id="rId2"/>
    <sheet name="工作表3" sheetId="5" state="hidden" r:id="rId3"/>
    <sheet name="單價表" sheetId="7" r:id="rId4"/>
    <sheet name="試算表(參考用)" sheetId="1" r:id="rId5"/>
    <sheet name="抬頭" sheetId="2" state="hidden" r:id="rId6"/>
  </sheets>
  <externalReferences>
    <externalReference r:id="rId7"/>
  </externalReferences>
  <definedNames>
    <definedName name="_xlnm._FilterDatabase" localSheetId="4" hidden="1">'試算表(參考用)'!$J$4:$J$149</definedName>
    <definedName name="_xlnm.Print_Area" localSheetId="0">統計表!$A$1:$W$27</definedName>
    <definedName name="_xlnm.Print_Titles" localSheetId="4">'試算表(參考用)'!$A:$D,'試算表(參考用)'!$1:$4</definedName>
    <definedName name="版本" localSheetId="1">[1]工作表3!$A$5:$A$11</definedName>
    <definedName name="版本">工作表3!$A$5:$A$11</definedName>
    <definedName name="臺北市市立松山國小書籍需求統計" localSheetId="1">#REF!</definedName>
    <definedName name="臺北市市立松山國小書籍需求統計">'試算表(參考用)'!#REF!</definedName>
  </definedNames>
  <calcPr calcId="144525"/>
</workbook>
</file>

<file path=xl/calcChain.xml><?xml version="1.0" encoding="utf-8"?>
<calcChain xmlns="http://schemas.openxmlformats.org/spreadsheetml/2006/main">
  <c r="AX6" i="4" l="1"/>
  <c r="A5" i="6" l="1"/>
  <c r="G157" i="1" l="1"/>
  <c r="AS9" i="4" l="1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N7" i="4"/>
  <c r="AM7" i="4"/>
  <c r="AU7" i="4"/>
  <c r="AT7" i="4"/>
  <c r="AS7" i="4"/>
  <c r="AR7" i="4"/>
  <c r="AQ7" i="4"/>
  <c r="AP7" i="4"/>
  <c r="AO7" i="4"/>
  <c r="AL7" i="4"/>
  <c r="AK7" i="4"/>
  <c r="AJ7" i="4"/>
  <c r="AI7" i="4"/>
  <c r="AH7" i="4"/>
  <c r="AG7" i="4"/>
  <c r="AF7" i="4"/>
  <c r="AE7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E5" i="4"/>
  <c r="AF5" i="4"/>
  <c r="H39" i="6" l="1"/>
  <c r="M5" i="6" s="1"/>
  <c r="G39" i="6"/>
  <c r="G5" i="6" s="1"/>
  <c r="F39" i="6"/>
  <c r="F5" i="6" s="1"/>
  <c r="H5" i="6" s="1"/>
  <c r="E39" i="6"/>
  <c r="K5" i="6" s="1"/>
  <c r="D39" i="6"/>
  <c r="J5" i="6" s="1"/>
  <c r="E5" i="6"/>
  <c r="L5" i="6" l="1"/>
  <c r="I5" i="6"/>
  <c r="AE8" i="4"/>
  <c r="AG8" i="4"/>
  <c r="AI8" i="4"/>
  <c r="AK8" i="4"/>
  <c r="AM8" i="4"/>
  <c r="AO8" i="4"/>
  <c r="AP8" i="4"/>
  <c r="AQ8" i="4"/>
  <c r="AR8" i="4"/>
  <c r="AT6" i="4"/>
  <c r="AR6" i="4"/>
  <c r="AQ6" i="4"/>
  <c r="AP6" i="4"/>
  <c r="AO6" i="4"/>
  <c r="AM6" i="4"/>
  <c r="AK6" i="4"/>
  <c r="AI6" i="4"/>
  <c r="AG6" i="4"/>
  <c r="AE6" i="4"/>
  <c r="AT4" i="4"/>
  <c r="AR4" i="4"/>
  <c r="AQ4" i="4"/>
  <c r="AP4" i="4"/>
  <c r="AO4" i="4"/>
  <c r="AM4" i="4"/>
  <c r="AK4" i="4"/>
  <c r="AI4" i="4"/>
  <c r="AG4" i="4"/>
  <c r="AE4" i="4"/>
  <c r="AV5" i="4" l="1"/>
  <c r="AV6" i="4"/>
  <c r="AW6" i="4" s="1"/>
  <c r="AV9" i="4"/>
  <c r="AV7" i="4"/>
  <c r="AV4" i="4"/>
  <c r="AV8" i="4"/>
  <c r="AY4" i="4" l="1"/>
  <c r="AW4" i="4"/>
  <c r="AW8" i="4"/>
  <c r="V8" i="4"/>
  <c r="AX8" i="4" s="1"/>
  <c r="AY8" i="4" s="1"/>
  <c r="V6" i="4"/>
  <c r="AY6" i="4" s="1"/>
  <c r="V4" i="4"/>
  <c r="AX4" i="4" s="1"/>
  <c r="R7" i="4"/>
  <c r="Q7" i="4"/>
  <c r="R5" i="4"/>
  <c r="Q5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Q149" i="1"/>
  <c r="Q148" i="1"/>
  <c r="AA148" i="1"/>
  <c r="Q147" i="1"/>
  <c r="Q146" i="1"/>
  <c r="Q145" i="1"/>
  <c r="Q144" i="1"/>
  <c r="Q143" i="1"/>
  <c r="Q142" i="1"/>
  <c r="Q141" i="1"/>
  <c r="Q140" i="1"/>
  <c r="AA140" i="1"/>
  <c r="Q139" i="1"/>
  <c r="Q138" i="1"/>
  <c r="Q137" i="1"/>
  <c r="AA137" i="1" s="1"/>
  <c r="Q136" i="1"/>
  <c r="Q135" i="1"/>
  <c r="Q134" i="1"/>
  <c r="Q133" i="1"/>
  <c r="AA133" i="1" s="1"/>
  <c r="Q132" i="1"/>
  <c r="Q131" i="1"/>
  <c r="Q130" i="1"/>
  <c r="Q129" i="1"/>
  <c r="AA129" i="1" s="1"/>
  <c r="Q128" i="1"/>
  <c r="AA128" i="1" s="1"/>
  <c r="Q127" i="1"/>
  <c r="Q126" i="1"/>
  <c r="AA126" i="1"/>
  <c r="Q125" i="1"/>
  <c r="Q124" i="1"/>
  <c r="Q123" i="1"/>
  <c r="AA123" i="1"/>
  <c r="Q122" i="1"/>
  <c r="Q121" i="1"/>
  <c r="Q120" i="1"/>
  <c r="AA120" i="1"/>
  <c r="Q119" i="1"/>
  <c r="Q118" i="1"/>
  <c r="Q117" i="1"/>
  <c r="Q116" i="1"/>
  <c r="AA116" i="1" s="1"/>
  <c r="Q115" i="1"/>
  <c r="Q114" i="1"/>
  <c r="Q113" i="1"/>
  <c r="Q112" i="1"/>
  <c r="AA112" i="1" s="1"/>
  <c r="Q111" i="1"/>
  <c r="Q110" i="1"/>
  <c r="AA110" i="1"/>
  <c r="Q109" i="1"/>
  <c r="AA109" i="1"/>
  <c r="Q108" i="1"/>
  <c r="Q107" i="1"/>
  <c r="Q106" i="1"/>
  <c r="Q105" i="1"/>
  <c r="AA105" i="1" s="1"/>
  <c r="Q104" i="1"/>
  <c r="Q103" i="1"/>
  <c r="Q102" i="1"/>
  <c r="AA102" i="1"/>
  <c r="Q101" i="1"/>
  <c r="Q100" i="1"/>
  <c r="Q99" i="1"/>
  <c r="Q98" i="1"/>
  <c r="Q97" i="1"/>
  <c r="Q96" i="1"/>
  <c r="AA96" i="1" s="1"/>
  <c r="Q95" i="1"/>
  <c r="AA95" i="1" s="1"/>
  <c r="Q94" i="1"/>
  <c r="Q93" i="1"/>
  <c r="Q92" i="1"/>
  <c r="AA92" i="1" s="1"/>
  <c r="Q91" i="1"/>
  <c r="Q90" i="1"/>
  <c r="Q89" i="1"/>
  <c r="AA89" i="1"/>
  <c r="Q88" i="1"/>
  <c r="AA88" i="1" s="1"/>
  <c r="Q87" i="1"/>
  <c r="Q86" i="1"/>
  <c r="Q85" i="1"/>
  <c r="Q84" i="1"/>
  <c r="Q83" i="1"/>
  <c r="Q82" i="1"/>
  <c r="Q81" i="1"/>
  <c r="AA81" i="1"/>
  <c r="Q80" i="1"/>
  <c r="Q79" i="1"/>
  <c r="Q78" i="1"/>
  <c r="Q77" i="1"/>
  <c r="AA77" i="1"/>
  <c r="Q76" i="1"/>
  <c r="AA76" i="1"/>
  <c r="Q75" i="1"/>
  <c r="Q74" i="1"/>
  <c r="Q73" i="1"/>
  <c r="AA73" i="1" s="1"/>
  <c r="Q72" i="1"/>
  <c r="Q71" i="1"/>
  <c r="Q70" i="1"/>
  <c r="AA70" i="1" s="1"/>
  <c r="Q69" i="1"/>
  <c r="Q68" i="1"/>
  <c r="Q67" i="1"/>
  <c r="AA67" i="1" s="1"/>
  <c r="Q66" i="1"/>
  <c r="AA66" i="1" s="1"/>
  <c r="Q65" i="1"/>
  <c r="Q64" i="1"/>
  <c r="AA64" i="1" s="1"/>
  <c r="Q63" i="1"/>
  <c r="AA63" i="1" s="1"/>
  <c r="Q62" i="1"/>
  <c r="AA62" i="1" s="1"/>
  <c r="Q61" i="1"/>
  <c r="AA61" i="1" s="1"/>
  <c r="Q60" i="1"/>
  <c r="Q59" i="1"/>
  <c r="Q58" i="1"/>
  <c r="Q57" i="1"/>
  <c r="Q56" i="1"/>
  <c r="AA56" i="1" s="1"/>
  <c r="Q55" i="1"/>
  <c r="Q54" i="1"/>
  <c r="AA54" i="1" s="1"/>
  <c r="Q53" i="1"/>
  <c r="Q52" i="1"/>
  <c r="Q51" i="1"/>
  <c r="Q50" i="1"/>
  <c r="AA50" i="1" s="1"/>
  <c r="Q49" i="1"/>
  <c r="AA49" i="1"/>
  <c r="Q48" i="1"/>
  <c r="AA48" i="1" s="1"/>
  <c r="Q47" i="1"/>
  <c r="Q46" i="1"/>
  <c r="Q45" i="1"/>
  <c r="Q44" i="1"/>
  <c r="AA44" i="1" s="1"/>
  <c r="Q43" i="1"/>
  <c r="AA43" i="1" s="1"/>
  <c r="Q42" i="1"/>
  <c r="AA42" i="1" s="1"/>
  <c r="Q41" i="1"/>
  <c r="AA41" i="1" s="1"/>
  <c r="Q40" i="1"/>
  <c r="Q39" i="1"/>
  <c r="Q38" i="1"/>
  <c r="AA38" i="1"/>
  <c r="Q37" i="1"/>
  <c r="Q36" i="1"/>
  <c r="Q35" i="1"/>
  <c r="Q34" i="1"/>
  <c r="Q33" i="1"/>
  <c r="Q32" i="1"/>
  <c r="AA32" i="1" s="1"/>
  <c r="Q31" i="1"/>
  <c r="Q30" i="1"/>
  <c r="Q29" i="1"/>
  <c r="Q28" i="1"/>
  <c r="AA28" i="1" s="1"/>
  <c r="Q27" i="1"/>
  <c r="Q26" i="1"/>
  <c r="AA26" i="1" s="1"/>
  <c r="Q25" i="1"/>
  <c r="AA25" i="1"/>
  <c r="Q24" i="1"/>
  <c r="AA24" i="1" s="1"/>
  <c r="Q23" i="1"/>
  <c r="Q22" i="1"/>
  <c r="Q21" i="1"/>
  <c r="Q20" i="1"/>
  <c r="Q19" i="1"/>
  <c r="Q18" i="1"/>
  <c r="AA18" i="1"/>
  <c r="Q17" i="1"/>
  <c r="Q16" i="1"/>
  <c r="Q15" i="1"/>
  <c r="AA15" i="1" s="1"/>
  <c r="Q14" i="1"/>
  <c r="AA14" i="1" s="1"/>
  <c r="Q13" i="1"/>
  <c r="Q12" i="1"/>
  <c r="AA12" i="1" s="1"/>
  <c r="Q11" i="1"/>
  <c r="Q10" i="1"/>
  <c r="Q9" i="1"/>
  <c r="Q8" i="1"/>
  <c r="AA8" i="1" s="1"/>
  <c r="Q7" i="1"/>
  <c r="AA7" i="1" s="1"/>
  <c r="Q6" i="1"/>
  <c r="AA6" i="1"/>
  <c r="AA94" i="1"/>
  <c r="AA87" i="1"/>
  <c r="AA69" i="1"/>
  <c r="AA58" i="1"/>
  <c r="AA4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AA138" i="1"/>
  <c r="AA135" i="1"/>
  <c r="AA134" i="1"/>
  <c r="AA131" i="1"/>
  <c r="AA127" i="1"/>
  <c r="N138" i="1"/>
  <c r="N137" i="1"/>
  <c r="N136" i="1"/>
  <c r="P136" i="1" s="1"/>
  <c r="N135" i="1"/>
  <c r="N134" i="1"/>
  <c r="R134" i="1" s="1"/>
  <c r="N133" i="1"/>
  <c r="P133" i="1" s="1"/>
  <c r="N132" i="1"/>
  <c r="R132" i="1" s="1"/>
  <c r="N131" i="1"/>
  <c r="N130" i="1"/>
  <c r="P130" i="1"/>
  <c r="N129" i="1"/>
  <c r="N128" i="1"/>
  <c r="P128" i="1" s="1"/>
  <c r="N127" i="1"/>
  <c r="R127" i="1" s="1"/>
  <c r="V149" i="1"/>
  <c r="V148" i="1"/>
  <c r="V147" i="1"/>
  <c r="V146" i="1"/>
  <c r="V145" i="1"/>
  <c r="V144" i="1"/>
  <c r="V143" i="1"/>
  <c r="V142" i="1"/>
  <c r="V141" i="1"/>
  <c r="V140" i="1"/>
  <c r="V139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T149" i="1"/>
  <c r="T148" i="1"/>
  <c r="T147" i="1"/>
  <c r="T146" i="1"/>
  <c r="T145" i="1"/>
  <c r="T144" i="1"/>
  <c r="T143" i="1"/>
  <c r="T142" i="1"/>
  <c r="T141" i="1"/>
  <c r="T140" i="1"/>
  <c r="T13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AA147" i="1"/>
  <c r="AA145" i="1"/>
  <c r="AA144" i="1"/>
  <c r="AA143" i="1"/>
  <c r="AA141" i="1"/>
  <c r="AA125" i="1"/>
  <c r="AA122" i="1"/>
  <c r="AA121" i="1"/>
  <c r="AA118" i="1"/>
  <c r="AA117" i="1"/>
  <c r="AA115" i="1"/>
  <c r="AA114" i="1"/>
  <c r="AA113" i="1"/>
  <c r="AA111" i="1"/>
  <c r="AA108" i="1"/>
  <c r="AA107" i="1"/>
  <c r="AA104" i="1"/>
  <c r="AA103" i="1"/>
  <c r="AA99" i="1"/>
  <c r="AA98" i="1"/>
  <c r="AA93" i="1"/>
  <c r="AA91" i="1"/>
  <c r="AA90" i="1"/>
  <c r="AA86" i="1"/>
  <c r="AA84" i="1"/>
  <c r="AA83" i="1"/>
  <c r="AA80" i="1"/>
  <c r="AA78" i="1"/>
  <c r="AA75" i="1"/>
  <c r="AA74" i="1"/>
  <c r="AA72" i="1"/>
  <c r="AA68" i="1"/>
  <c r="AA65" i="1"/>
  <c r="AA60" i="1"/>
  <c r="AA57" i="1"/>
  <c r="AA51" i="1"/>
  <c r="AA47" i="1"/>
  <c r="AA46" i="1"/>
  <c r="AA45" i="1"/>
  <c r="AA39" i="1"/>
  <c r="AA36" i="1"/>
  <c r="AA35" i="1"/>
  <c r="AA33" i="1"/>
  <c r="AA31" i="1"/>
  <c r="AA30" i="1"/>
  <c r="AA29" i="1"/>
  <c r="AA27" i="1"/>
  <c r="AA22" i="1"/>
  <c r="AA21" i="1"/>
  <c r="AA20" i="1"/>
  <c r="AA19" i="1"/>
  <c r="AA17" i="1"/>
  <c r="AA11" i="1"/>
  <c r="AA9" i="1"/>
  <c r="Q5" i="1"/>
  <c r="N149" i="1"/>
  <c r="P149" i="1" s="1"/>
  <c r="N148" i="1"/>
  <c r="P148" i="1" s="1"/>
  <c r="N147" i="1"/>
  <c r="R147" i="1"/>
  <c r="N146" i="1"/>
  <c r="R146" i="1" s="1"/>
  <c r="N145" i="1"/>
  <c r="R145" i="1" s="1"/>
  <c r="N144" i="1"/>
  <c r="R144" i="1" s="1"/>
  <c r="N143" i="1"/>
  <c r="P143" i="1" s="1"/>
  <c r="N142" i="1"/>
  <c r="P142" i="1" s="1"/>
  <c r="N141" i="1"/>
  <c r="R141" i="1" s="1"/>
  <c r="N140" i="1"/>
  <c r="N139" i="1"/>
  <c r="R139" i="1" s="1"/>
  <c r="N126" i="1"/>
  <c r="R126" i="1" s="1"/>
  <c r="N125" i="1"/>
  <c r="P125" i="1" s="1"/>
  <c r="N124" i="1"/>
  <c r="R124" i="1" s="1"/>
  <c r="N123" i="1"/>
  <c r="R123" i="1" s="1"/>
  <c r="N122" i="1"/>
  <c r="R122" i="1" s="1"/>
  <c r="N121" i="1"/>
  <c r="P121" i="1" s="1"/>
  <c r="N120" i="1"/>
  <c r="P120" i="1" s="1"/>
  <c r="N119" i="1"/>
  <c r="N118" i="1"/>
  <c r="P118" i="1" s="1"/>
  <c r="N117" i="1"/>
  <c r="P117" i="1" s="1"/>
  <c r="N116" i="1"/>
  <c r="R116" i="1" s="1"/>
  <c r="N115" i="1"/>
  <c r="P115" i="1" s="1"/>
  <c r="N114" i="1"/>
  <c r="R114" i="1" s="1"/>
  <c r="N113" i="1"/>
  <c r="R113" i="1" s="1"/>
  <c r="N112" i="1"/>
  <c r="P112" i="1" s="1"/>
  <c r="N111" i="1"/>
  <c r="P111" i="1" s="1"/>
  <c r="N110" i="1"/>
  <c r="R110" i="1" s="1"/>
  <c r="N109" i="1"/>
  <c r="R109" i="1" s="1"/>
  <c r="N108" i="1"/>
  <c r="P108" i="1" s="1"/>
  <c r="N107" i="1"/>
  <c r="P107" i="1" s="1"/>
  <c r="N106" i="1"/>
  <c r="R106" i="1" s="1"/>
  <c r="N105" i="1"/>
  <c r="R105" i="1" s="1"/>
  <c r="N104" i="1"/>
  <c r="P104" i="1" s="1"/>
  <c r="N103" i="1"/>
  <c r="R103" i="1" s="1"/>
  <c r="N102" i="1"/>
  <c r="R102" i="1" s="1"/>
  <c r="N101" i="1"/>
  <c r="P101" i="1" s="1"/>
  <c r="N100" i="1"/>
  <c r="R100" i="1" s="1"/>
  <c r="N99" i="1"/>
  <c r="P99" i="1" s="1"/>
  <c r="N98" i="1"/>
  <c r="P98" i="1" s="1"/>
  <c r="N97" i="1"/>
  <c r="P97" i="1" s="1"/>
  <c r="N96" i="1"/>
  <c r="P96" i="1" s="1"/>
  <c r="N95" i="1"/>
  <c r="R95" i="1" s="1"/>
  <c r="N94" i="1"/>
  <c r="P94" i="1" s="1"/>
  <c r="N93" i="1"/>
  <c r="P93" i="1" s="1"/>
  <c r="N92" i="1"/>
  <c r="R92" i="1" s="1"/>
  <c r="N91" i="1"/>
  <c r="R91" i="1" s="1"/>
  <c r="N90" i="1"/>
  <c r="R90" i="1" s="1"/>
  <c r="N89" i="1"/>
  <c r="P89" i="1" s="1"/>
  <c r="N88" i="1"/>
  <c r="P88" i="1" s="1"/>
  <c r="N87" i="1"/>
  <c r="R87" i="1" s="1"/>
  <c r="N86" i="1"/>
  <c r="R86" i="1" s="1"/>
  <c r="N85" i="1"/>
  <c r="R85" i="1" s="1"/>
  <c r="N84" i="1"/>
  <c r="P84" i="1" s="1"/>
  <c r="N83" i="1"/>
  <c r="R83" i="1" s="1"/>
  <c r="N82" i="1"/>
  <c r="P82" i="1" s="1"/>
  <c r="N81" i="1"/>
  <c r="R81" i="1" s="1"/>
  <c r="N80" i="1"/>
  <c r="R80" i="1" s="1"/>
  <c r="N79" i="1"/>
  <c r="R79" i="1" s="1"/>
  <c r="N78" i="1"/>
  <c r="R78" i="1" s="1"/>
  <c r="N77" i="1"/>
  <c r="P77" i="1" s="1"/>
  <c r="N76" i="1"/>
  <c r="P76" i="1" s="1"/>
  <c r="N75" i="1"/>
  <c r="R75" i="1"/>
  <c r="N74" i="1"/>
  <c r="R74" i="1" s="1"/>
  <c r="N73" i="1"/>
  <c r="P73" i="1" s="1"/>
  <c r="N72" i="1"/>
  <c r="R72" i="1" s="1"/>
  <c r="N71" i="1"/>
  <c r="R71" i="1" s="1"/>
  <c r="N70" i="1"/>
  <c r="P70" i="1" s="1"/>
  <c r="N69" i="1"/>
  <c r="P69" i="1" s="1"/>
  <c r="N68" i="1"/>
  <c r="P68" i="1" s="1"/>
  <c r="N67" i="1"/>
  <c r="P67" i="1" s="1"/>
  <c r="N66" i="1"/>
  <c r="R66" i="1" s="1"/>
  <c r="N65" i="1"/>
  <c r="R65" i="1" s="1"/>
  <c r="N64" i="1"/>
  <c r="R64" i="1" s="1"/>
  <c r="N63" i="1"/>
  <c r="R63" i="1" s="1"/>
  <c r="N62" i="1"/>
  <c r="P62" i="1" s="1"/>
  <c r="N61" i="1"/>
  <c r="P61" i="1" s="1"/>
  <c r="N60" i="1"/>
  <c r="P60" i="1" s="1"/>
  <c r="N59" i="1"/>
  <c r="N58" i="1"/>
  <c r="P58" i="1" s="1"/>
  <c r="N57" i="1"/>
  <c r="P57" i="1" s="1"/>
  <c r="N56" i="1"/>
  <c r="N55" i="1"/>
  <c r="R55" i="1" s="1"/>
  <c r="N54" i="1"/>
  <c r="R54" i="1" s="1"/>
  <c r="N53" i="1"/>
  <c r="R53" i="1" s="1"/>
  <c r="N52" i="1"/>
  <c r="R52" i="1" s="1"/>
  <c r="N51" i="1"/>
  <c r="P51" i="1" s="1"/>
  <c r="N50" i="1"/>
  <c r="R50" i="1" s="1"/>
  <c r="N49" i="1"/>
  <c r="P49" i="1" s="1"/>
  <c r="N48" i="1"/>
  <c r="R48" i="1" s="1"/>
  <c r="N47" i="1"/>
  <c r="P47" i="1" s="1"/>
  <c r="N46" i="1"/>
  <c r="R46" i="1" s="1"/>
  <c r="N45" i="1"/>
  <c r="R45" i="1" s="1"/>
  <c r="N44" i="1"/>
  <c r="R44" i="1" s="1"/>
  <c r="N43" i="1"/>
  <c r="P43" i="1" s="1"/>
  <c r="N42" i="1"/>
  <c r="R42" i="1" s="1"/>
  <c r="N41" i="1"/>
  <c r="R41" i="1" s="1"/>
  <c r="N40" i="1"/>
  <c r="R40" i="1" s="1"/>
  <c r="N39" i="1"/>
  <c r="R39" i="1" s="1"/>
  <c r="N38" i="1"/>
  <c r="R38" i="1" s="1"/>
  <c r="N37" i="1"/>
  <c r="R37" i="1" s="1"/>
  <c r="N36" i="1"/>
  <c r="R36" i="1" s="1"/>
  <c r="N35" i="1"/>
  <c r="P35" i="1" s="1"/>
  <c r="N34" i="1"/>
  <c r="P34" i="1" s="1"/>
  <c r="N33" i="1"/>
  <c r="R33" i="1" s="1"/>
  <c r="N32" i="1"/>
  <c r="R32" i="1" s="1"/>
  <c r="N31" i="1"/>
  <c r="R31" i="1" s="1"/>
  <c r="N30" i="1"/>
  <c r="R30" i="1" s="1"/>
  <c r="N29" i="1"/>
  <c r="P29" i="1" s="1"/>
  <c r="N28" i="1"/>
  <c r="P28" i="1" s="1"/>
  <c r="N27" i="1"/>
  <c r="P27" i="1" s="1"/>
  <c r="N26" i="1"/>
  <c r="R26" i="1" s="1"/>
  <c r="N25" i="1"/>
  <c r="R25" i="1" s="1"/>
  <c r="N24" i="1"/>
  <c r="R24" i="1"/>
  <c r="N23" i="1"/>
  <c r="R23" i="1" s="1"/>
  <c r="N22" i="1"/>
  <c r="R22" i="1" s="1"/>
  <c r="N21" i="1"/>
  <c r="P21" i="1" s="1"/>
  <c r="N20" i="1"/>
  <c r="R20" i="1" s="1"/>
  <c r="N19" i="1"/>
  <c r="P19" i="1" s="1"/>
  <c r="N18" i="1"/>
  <c r="P18" i="1" s="1"/>
  <c r="N17" i="1"/>
  <c r="P17" i="1" s="1"/>
  <c r="N16" i="1"/>
  <c r="R16" i="1" s="1"/>
  <c r="N15" i="1"/>
  <c r="R15" i="1" s="1"/>
  <c r="N14" i="1"/>
  <c r="R14" i="1" s="1"/>
  <c r="N13" i="1"/>
  <c r="R13" i="1" s="1"/>
  <c r="N12" i="1"/>
  <c r="R12" i="1" s="1"/>
  <c r="N11" i="1"/>
  <c r="R11" i="1" s="1"/>
  <c r="N10" i="1"/>
  <c r="P10" i="1" s="1"/>
  <c r="R10" i="1"/>
  <c r="N9" i="1"/>
  <c r="P9" i="1" s="1"/>
  <c r="N8" i="1"/>
  <c r="R8" i="1" s="1"/>
  <c r="N7" i="1"/>
  <c r="P7" i="1" s="1"/>
  <c r="N6" i="1"/>
  <c r="R6" i="1" s="1"/>
  <c r="P6" i="1"/>
  <c r="N5" i="1"/>
  <c r="R5" i="1" s="1"/>
  <c r="AA37" i="1"/>
  <c r="AA82" i="1"/>
  <c r="AA97" i="1"/>
  <c r="AA139" i="1"/>
  <c r="AA130" i="1"/>
  <c r="AA52" i="1"/>
  <c r="AA124" i="1"/>
  <c r="AA13" i="1"/>
  <c r="AA55" i="1"/>
  <c r="AA79" i="1"/>
  <c r="AA85" i="1"/>
  <c r="AA100" i="1"/>
  <c r="AA106" i="1"/>
  <c r="R7" i="1"/>
  <c r="R28" i="1"/>
  <c r="R76" i="1"/>
  <c r="AA10" i="1"/>
  <c r="AA16" i="1"/>
  <c r="AA101" i="1"/>
  <c r="AA23" i="1"/>
  <c r="AA59" i="1"/>
  <c r="AA71" i="1"/>
  <c r="P42" i="1"/>
  <c r="R130" i="1"/>
  <c r="P11" i="1"/>
  <c r="R51" i="1"/>
  <c r="R59" i="1"/>
  <c r="P59" i="1"/>
  <c r="R115" i="1"/>
  <c r="R143" i="1"/>
  <c r="P147" i="1"/>
  <c r="R131" i="1"/>
  <c r="P131" i="1"/>
  <c r="P110" i="1"/>
  <c r="P24" i="1"/>
  <c r="P48" i="1"/>
  <c r="P56" i="1"/>
  <c r="R56" i="1"/>
  <c r="P72" i="1"/>
  <c r="R84" i="1"/>
  <c r="R104" i="1"/>
  <c r="P140" i="1"/>
  <c r="R140" i="1"/>
  <c r="P15" i="1"/>
  <c r="R19" i="1"/>
  <c r="R47" i="1"/>
  <c r="P103" i="1"/>
  <c r="P119" i="1"/>
  <c r="P139" i="1"/>
  <c r="P127" i="1"/>
  <c r="R135" i="1"/>
  <c r="P135" i="1"/>
  <c r="R21" i="1"/>
  <c r="P25" i="1"/>
  <c r="R29" i="1"/>
  <c r="P41" i="1"/>
  <c r="P45" i="1"/>
  <c r="R69" i="1"/>
  <c r="R97" i="1"/>
  <c r="P105" i="1"/>
  <c r="P109" i="1"/>
  <c r="R129" i="1"/>
  <c r="P129" i="1"/>
  <c r="R133" i="1"/>
  <c r="R137" i="1"/>
  <c r="P137" i="1"/>
  <c r="P54" i="1"/>
  <c r="P86" i="1"/>
  <c r="P134" i="1"/>
  <c r="R88" i="1"/>
  <c r="AA5" i="1"/>
  <c r="AA132" i="1"/>
  <c r="AA142" i="1"/>
  <c r="R142" i="1"/>
  <c r="AA146" i="1"/>
  <c r="R99" i="1"/>
  <c r="R138" i="1"/>
  <c r="P138" i="1"/>
  <c r="AA34" i="1"/>
  <c r="R119" i="1"/>
  <c r="AA119" i="1"/>
  <c r="R149" i="1"/>
  <c r="AA149" i="1"/>
  <c r="P87" i="1"/>
  <c r="R128" i="1"/>
  <c r="R108" i="1"/>
  <c r="P46" i="1"/>
  <c r="P75" i="1"/>
  <c r="AA136" i="1"/>
  <c r="P64" i="1"/>
  <c r="R70" i="1"/>
  <c r="AA53" i="1"/>
  <c r="P141" i="1" l="1"/>
  <c r="H162" i="1" s="1"/>
  <c r="I162" i="1" s="1"/>
  <c r="G162" i="1"/>
  <c r="O162" i="1"/>
  <c r="N162" i="1"/>
  <c r="G161" i="1"/>
  <c r="J161" i="1"/>
  <c r="P144" i="1"/>
  <c r="N161" i="1"/>
  <c r="P146" i="1"/>
  <c r="G159" i="1"/>
  <c r="I159" i="1" s="1"/>
  <c r="P132" i="1"/>
  <c r="R120" i="1"/>
  <c r="R121" i="1"/>
  <c r="R117" i="1"/>
  <c r="P123" i="1"/>
  <c r="P122" i="1"/>
  <c r="R118" i="1"/>
  <c r="P113" i="1"/>
  <c r="R112" i="1"/>
  <c r="R98" i="1"/>
  <c r="O160" i="1"/>
  <c r="P95" i="1"/>
  <c r="G160" i="1"/>
  <c r="R89" i="1"/>
  <c r="P90" i="1"/>
  <c r="P91" i="1"/>
  <c r="R96" i="1"/>
  <c r="P79" i="1"/>
  <c r="P81" i="1"/>
  <c r="P85" i="1"/>
  <c r="P66" i="1"/>
  <c r="G158" i="1"/>
  <c r="R68" i="1"/>
  <c r="P65" i="1"/>
  <c r="P71" i="1"/>
  <c r="R61" i="1"/>
  <c r="P63" i="1"/>
  <c r="R62" i="1"/>
  <c r="R58" i="1"/>
  <c r="P55" i="1"/>
  <c r="N158" i="1"/>
  <c r="P50" i="1"/>
  <c r="R43" i="1"/>
  <c r="P39" i="1"/>
  <c r="R34" i="1"/>
  <c r="P37" i="1"/>
  <c r="P38" i="1"/>
  <c r="P23" i="1"/>
  <c r="R27" i="1"/>
  <c r="P32" i="1"/>
  <c r="O157" i="1"/>
  <c r="R18" i="1"/>
  <c r="V150" i="1"/>
  <c r="P30" i="1"/>
  <c r="N157" i="1"/>
  <c r="P14" i="1"/>
  <c r="P12" i="1"/>
  <c r="AW10" i="4"/>
  <c r="AX10" i="4"/>
  <c r="AP15" i="4" s="1"/>
  <c r="AY10" i="4"/>
  <c r="R60" i="1"/>
  <c r="R57" i="1"/>
  <c r="P33" i="1"/>
  <c r="P13" i="1"/>
  <c r="P114" i="1"/>
  <c r="P80" i="1"/>
  <c r="P8" i="1"/>
  <c r="R82" i="1"/>
  <c r="R9" i="1"/>
  <c r="R17" i="1"/>
  <c r="P40" i="1"/>
  <c r="P44" i="1"/>
  <c r="J159" i="1"/>
  <c r="R111" i="1"/>
  <c r="P145" i="1"/>
  <c r="H161" i="1" s="1"/>
  <c r="R93" i="1"/>
  <c r="R94" i="1"/>
  <c r="P26" i="1"/>
  <c r="P16" i="1"/>
  <c r="P20" i="1"/>
  <c r="J162" i="1"/>
  <c r="P53" i="1"/>
  <c r="R49" i="1"/>
  <c r="R125" i="1"/>
  <c r="R101" i="1"/>
  <c r="R77" i="1"/>
  <c r="R107" i="1"/>
  <c r="P74" i="1"/>
  <c r="H159" i="1"/>
  <c r="P92" i="1"/>
  <c r="P36" i="1"/>
  <c r="P78" i="1"/>
  <c r="P83" i="1"/>
  <c r="O158" i="1"/>
  <c r="P126" i="1"/>
  <c r="P31" i="1"/>
  <c r="P106" i="1"/>
  <c r="T150" i="1"/>
  <c r="N160" i="1"/>
  <c r="O161" i="1"/>
  <c r="R73" i="1"/>
  <c r="R35" i="1"/>
  <c r="P116" i="1"/>
  <c r="R67" i="1"/>
  <c r="R148" i="1"/>
  <c r="M161" i="1" s="1"/>
  <c r="P5" i="1"/>
  <c r="P22" i="1"/>
  <c r="P52" i="1"/>
  <c r="P100" i="1"/>
  <c r="M162" i="1"/>
  <c r="K162" i="1" s="1"/>
  <c r="N159" i="1"/>
  <c r="O159" i="1"/>
  <c r="Z5" i="4"/>
  <c r="AB5" i="4" s="1"/>
  <c r="AA6" i="4"/>
  <c r="AC6" i="4" s="1"/>
  <c r="S9" i="4"/>
  <c r="AA5" i="4"/>
  <c r="AC5" i="4" s="1"/>
  <c r="S7" i="4"/>
  <c r="AA4" i="4"/>
  <c r="AC4" i="4" s="1"/>
  <c r="S6" i="4"/>
  <c r="S8" i="4"/>
  <c r="Z6" i="4"/>
  <c r="AB6" i="4" s="1"/>
  <c r="S5" i="4"/>
  <c r="S4" i="4"/>
  <c r="Z4" i="4"/>
  <c r="AB4" i="4" s="1"/>
  <c r="J160" i="1"/>
  <c r="J158" i="1"/>
  <c r="J157" i="1"/>
  <c r="P102" i="1"/>
  <c r="P124" i="1"/>
  <c r="R136" i="1"/>
  <c r="L162" i="1" l="1"/>
  <c r="I161" i="1"/>
  <c r="K161" i="1"/>
  <c r="L161" i="1" s="1"/>
  <c r="M160" i="1"/>
  <c r="K160" i="1" s="1"/>
  <c r="L160" i="1" s="1"/>
  <c r="G163" i="1"/>
  <c r="H158" i="1"/>
  <c r="I158" i="1" s="1"/>
  <c r="M158" i="1"/>
  <c r="K158" i="1" s="1"/>
  <c r="L158" i="1" s="1"/>
  <c r="N163" i="1"/>
  <c r="O163" i="1"/>
  <c r="W4" i="4"/>
  <c r="AG16" i="4"/>
  <c r="AE16" i="4"/>
  <c r="W8" i="4"/>
  <c r="AG18" i="4"/>
  <c r="AE18" i="4"/>
  <c r="W6" i="4"/>
  <c r="AG17" i="4"/>
  <c r="AE17" i="4"/>
  <c r="M157" i="1"/>
  <c r="K157" i="1" s="1"/>
  <c r="H157" i="1"/>
  <c r="R151" i="1"/>
  <c r="P150" i="1"/>
  <c r="H160" i="1"/>
  <c r="I160" i="1" s="1"/>
  <c r="AB7" i="4"/>
  <c r="O13" i="4" s="1"/>
  <c r="AC7" i="4"/>
  <c r="O14" i="4" s="1"/>
  <c r="M159" i="1"/>
  <c r="K159" i="1" s="1"/>
  <c r="L159" i="1" s="1"/>
  <c r="J163" i="1"/>
  <c r="R150" i="1"/>
  <c r="H163" i="1" l="1"/>
  <c r="I157" i="1"/>
  <c r="I163" i="1" s="1"/>
  <c r="U10" i="4"/>
  <c r="O15" i="4" s="1"/>
  <c r="AP13" i="4" s="1"/>
  <c r="AG19" i="4"/>
  <c r="AP14" i="4" s="1"/>
  <c r="AP16" i="4" s="1"/>
  <c r="R152" i="1"/>
  <c r="M163" i="1"/>
  <c r="L157" i="1"/>
  <c r="L163" i="1" s="1"/>
  <c r="K163" i="1"/>
</calcChain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細明體"/>
            <family val="3"/>
            <charset val="136"/>
          </rPr>
          <t>請輸入版本或從儲存格右下角三角按鈕選取。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10" authorId="0">
      <text>
        <r>
          <rPr>
            <sz val="16"/>
            <color indexed="81"/>
            <rFont val="細明體"/>
            <family val="3"/>
            <charset val="136"/>
          </rPr>
          <t>請填寫統計表每人補助金額</t>
        </r>
      </text>
    </comment>
  </commentList>
</comments>
</file>

<file path=xl/sharedStrings.xml><?xml version="1.0" encoding="utf-8"?>
<sst xmlns="http://schemas.openxmlformats.org/spreadsheetml/2006/main" count="1514" uniqueCount="325">
  <si>
    <t>出版商</t>
  </si>
  <si>
    <t>書名</t>
  </si>
  <si>
    <t>冊別</t>
  </si>
  <si>
    <t>學校用書
需求(本)</t>
  </si>
  <si>
    <t>樣書
(本)</t>
  </si>
  <si>
    <t>學校補助
(本)</t>
  </si>
  <si>
    <t>學校單本
補助價格</t>
  </si>
  <si>
    <t>學校補助
金額小計</t>
  </si>
  <si>
    <t>補助
金額小計</t>
  </si>
  <si>
    <t>康軒</t>
  </si>
  <si>
    <t>國中康軒國文課本</t>
  </si>
  <si>
    <t>第二冊</t>
  </si>
  <si>
    <t>國中康軒國文習作</t>
  </si>
  <si>
    <t>國中康軒數學課本</t>
  </si>
  <si>
    <t>國中康軒數學習作</t>
  </si>
  <si>
    <t>國中康軒社會課本</t>
  </si>
  <si>
    <t>國中康軒社會習作</t>
  </si>
  <si>
    <t>國中康軒自然科學課本</t>
  </si>
  <si>
    <t>國中康軒自然科學習作</t>
  </si>
  <si>
    <t>國中康軒健康與體育課本</t>
  </si>
  <si>
    <t>國中康軒綜合活動課本</t>
  </si>
  <si>
    <t>國中康軒藝術課本</t>
  </si>
  <si>
    <t>國中康軒英語課本</t>
  </si>
  <si>
    <t>國中康軒英語習作</t>
  </si>
  <si>
    <t>國中康軒科技課本</t>
  </si>
  <si>
    <t>國中康軒科技習作</t>
  </si>
  <si>
    <t>第四冊</t>
  </si>
  <si>
    <t>翰林</t>
  </si>
  <si>
    <t>國中翰林國文課本</t>
  </si>
  <si>
    <t>國中翰林國文習作</t>
  </si>
  <si>
    <t>國中翰林數學課本</t>
  </si>
  <si>
    <t>國中翰林數學習作</t>
  </si>
  <si>
    <t>國中翰林社會課本</t>
  </si>
  <si>
    <t>國中翰林社會習作</t>
  </si>
  <si>
    <t>國中翰林自然科學課本</t>
  </si>
  <si>
    <t>國中翰林自然科學習作</t>
  </si>
  <si>
    <t>國中翰林健康與體育課本</t>
  </si>
  <si>
    <t>國中翰林綜合活動課本</t>
  </si>
  <si>
    <t>國中翰林藝術課本</t>
  </si>
  <si>
    <t>國中翰林科技課本</t>
  </si>
  <si>
    <t>國中翰林科技習作</t>
  </si>
  <si>
    <t>南一</t>
  </si>
  <si>
    <t>國中南一國文課本</t>
  </si>
  <si>
    <t>國中南一國文習作</t>
  </si>
  <si>
    <t>國中南一數學課本</t>
  </si>
  <si>
    <t>國中南一數學習作</t>
  </si>
  <si>
    <t>國中南一社會課本</t>
  </si>
  <si>
    <t>國中南一社會習作</t>
  </si>
  <si>
    <t>國中南一自然科學課本</t>
  </si>
  <si>
    <t>國中南一自然科學活動紀錄簿</t>
  </si>
  <si>
    <t>國中南一科技課本</t>
  </si>
  <si>
    <t>國中南一科技活動紀錄簿</t>
  </si>
  <si>
    <t>國中南一健康與體育課本</t>
  </si>
  <si>
    <t>國中南一綜合活動課本</t>
  </si>
  <si>
    <t>國中南一英語課本</t>
  </si>
  <si>
    <t>國中南一英語習作</t>
  </si>
  <si>
    <t>佳音</t>
  </si>
  <si>
    <t>國中佳音英語課本</t>
  </si>
  <si>
    <t>國中佳音英語習作</t>
  </si>
  <si>
    <t>奇鼎</t>
  </si>
  <si>
    <t>國中奇鼎藝術課本</t>
  </si>
  <si>
    <t>國中奇鼎健康與體育課本</t>
  </si>
  <si>
    <t>全華</t>
  </si>
  <si>
    <t>國中全華科技課本</t>
  </si>
  <si>
    <t>第一冊</t>
  </si>
  <si>
    <t>國中全華科技活動手冊</t>
  </si>
  <si>
    <t>國中全華藝術課本</t>
  </si>
  <si>
    <t>第三冊</t>
  </si>
  <si>
    <t>學校補助
金額合計</t>
  </si>
  <si>
    <t>學生補助
金額合計</t>
  </si>
  <si>
    <t>抬頭1</t>
  </si>
  <si>
    <t>抬頭2</t>
  </si>
  <si>
    <t>花蓮縣縣立玉里國中學校與學生用書補助統計</t>
  </si>
  <si>
    <t>縣補助及花東書籍費補助價格</t>
    <phoneticPr fontId="1" type="noConversion"/>
  </si>
  <si>
    <t>花東書籍費補助(本)</t>
    <phoneticPr fontId="1" type="noConversion"/>
  </si>
  <si>
    <t>花東書籍費補助金額小計</t>
    <phoneticPr fontId="1" type="noConversion"/>
  </si>
  <si>
    <t>特教生使用一般版本教科書補助金額小計</t>
    <phoneticPr fontId="1" type="noConversion"/>
  </si>
  <si>
    <t>花東書籍費補助金額合計</t>
    <phoneticPr fontId="1" type="noConversion"/>
  </si>
  <si>
    <t>審定本</t>
    <phoneticPr fontId="1" type="noConversion"/>
  </si>
  <si>
    <t>藝能科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</si>
  <si>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</si>
  <si>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</si>
  <si>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</si>
  <si>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E</t>
    <phoneticPr fontId="1" type="noConversion"/>
  </si>
  <si>
    <t>D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</si>
  <si>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</si>
  <si>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</si>
  <si>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</si>
  <si>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</si>
  <si>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</si>
  <si>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</si>
  <si>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</si>
  <si>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</si>
  <si>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</si>
  <si>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</si>
  <si>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=A-B</t>
    <phoneticPr fontId="1" type="noConversion"/>
  </si>
  <si>
    <t>=C*D</t>
    <phoneticPr fontId="1" type="noConversion"/>
  </si>
  <si>
    <t>=F*G</t>
    <phoneticPr fontId="1" type="noConversion"/>
  </si>
  <si>
    <t>=D-G</t>
    <phoneticPr fontId="1" type="noConversion"/>
  </si>
  <si>
    <t>自填</t>
    <phoneticPr fontId="1" type="noConversion"/>
  </si>
  <si>
    <t>=I*J</t>
    <phoneticPr fontId="1" type="noConversion"/>
  </si>
  <si>
    <t>=F-J</t>
    <phoneticPr fontId="1" type="noConversion"/>
  </si>
  <si>
    <t>=D*N</t>
    <phoneticPr fontId="1" type="noConversion"/>
  </si>
  <si>
    <t>教師用及行政留存</t>
    <phoneticPr fontId="1" type="noConversion"/>
  </si>
  <si>
    <t>原價</t>
    <phoneticPr fontId="1" type="noConversion"/>
  </si>
  <si>
    <t>十二年國教課綱教科書部分補助</t>
    <phoneticPr fontId="1" type="noConversion"/>
  </si>
  <si>
    <t>為避免重複補助已扣除十二年國教課綱教科書部分補助</t>
    <phoneticPr fontId="1" type="noConversion"/>
  </si>
  <si>
    <t>低收入戶及中低收入戶學生</t>
    <phoneticPr fontId="1" type="noConversion"/>
  </si>
  <si>
    <t>一般生</t>
    <phoneticPr fontId="1" type="noConversion"/>
  </si>
  <si>
    <t>請學校自填，單本補助以原價計</t>
    <phoneticPr fontId="1" type="noConversion"/>
  </si>
  <si>
    <t>P</t>
    <phoneticPr fontId="1" type="noConversion"/>
  </si>
  <si>
    <t>Q</t>
    <phoneticPr fontId="1" type="noConversion"/>
  </si>
  <si>
    <t>自填</t>
    <phoneticPr fontId="1" type="noConversion"/>
  </si>
  <si>
    <t>=D*P</t>
    <phoneticPr fontId="1" type="noConversion"/>
  </si>
  <si>
    <t>補校生補助(本)</t>
    <phoneticPr fontId="1" type="noConversion"/>
  </si>
  <si>
    <t>補校生補助金額小計</t>
    <phoneticPr fontId="1" type="noConversion"/>
  </si>
  <si>
    <t xml:space="preserve">康軒 </t>
    <phoneticPr fontId="4" type="noConversion"/>
  </si>
  <si>
    <t xml:space="preserve">翰林 </t>
    <phoneticPr fontId="4" type="noConversion"/>
  </si>
  <si>
    <t xml:space="preserve">佳音 </t>
    <phoneticPr fontId="4" type="noConversion"/>
  </si>
  <si>
    <t xml:space="preserve">全華 </t>
    <phoneticPr fontId="4" type="noConversion"/>
  </si>
  <si>
    <t xml:space="preserve">南一 </t>
    <phoneticPr fontId="4" type="noConversion"/>
  </si>
  <si>
    <t xml:space="preserve">奇鼎 </t>
    <phoneticPr fontId="4" type="noConversion"/>
  </si>
  <si>
    <t>=I*L</t>
    <phoneticPr fontId="1" type="noConversion"/>
  </si>
  <si>
    <t>一般生金額合計</t>
    <phoneticPr fontId="1" type="noConversion"/>
  </si>
  <si>
    <t>特教生使用一般版本教科書(本)外加</t>
    <phoneticPr fontId="1" type="noConversion"/>
  </si>
  <si>
    <t>特教生使用一般版本教科書合計</t>
    <phoneticPr fontId="1" type="noConversion"/>
  </si>
  <si>
    <t>補校生補助合計</t>
    <phoneticPr fontId="1" type="noConversion"/>
  </si>
  <si>
    <t>版本</t>
    <phoneticPr fontId="1" type="noConversion"/>
  </si>
  <si>
    <t>第_列</t>
    <phoneticPr fontId="1" type="noConversion"/>
  </si>
  <si>
    <t>合計</t>
    <phoneticPr fontId="1" type="noConversion"/>
  </si>
  <si>
    <t>花東書籍費與學生用書分攤金額</t>
    <phoneticPr fontId="1" type="noConversion"/>
  </si>
  <si>
    <t>縣補助與學生用書分攤金額</t>
    <phoneticPr fontId="1" type="noConversion"/>
  </si>
  <si>
    <t>=G*J</t>
    <phoneticPr fontId="1" type="noConversion"/>
  </si>
  <si>
    <t>=G*L</t>
    <phoneticPr fontId="1" type="noConversion"/>
  </si>
  <si>
    <t>花東書籍費</t>
    <phoneticPr fontId="1" type="noConversion"/>
  </si>
  <si>
    <t>審定本與藝能科給付書商金額</t>
    <phoneticPr fontId="1" type="noConversion"/>
  </si>
  <si>
    <t>說明</t>
    <phoneticPr fontId="1" type="noConversion"/>
  </si>
  <si>
    <t>公式</t>
    <phoneticPr fontId="1" type="noConversion"/>
  </si>
  <si>
    <t>定位用</t>
    <phoneticPr fontId="1" type="noConversion"/>
  </si>
  <si>
    <t>↑單一筆給付書商</t>
    <phoneticPr fontId="1" type="noConversion"/>
  </si>
  <si>
    <t>學生用書</t>
    <phoneticPr fontId="1" type="noConversion"/>
  </si>
  <si>
    <t>↑花東書籍費和審定本與藝能科的一部分</t>
    <phoneticPr fontId="1" type="noConversion"/>
  </si>
  <si>
    <t>審定本與藝能科補助(本)</t>
    <phoneticPr fontId="1" type="noConversion"/>
  </si>
  <si>
    <t>審定本與藝能科補助金額小計</t>
    <phoneticPr fontId="1" type="noConversion"/>
  </si>
  <si>
    <t>學生用書補助
(本)</t>
    <phoneticPr fontId="1" type="noConversion"/>
  </si>
  <si>
    <t>學生用書補助金額小計</t>
    <phoneticPr fontId="1" type="noConversion"/>
  </si>
  <si>
    <t>學生用書單本補助價格</t>
    <phoneticPr fontId="1" type="noConversion"/>
  </si>
  <si>
    <t>花東書籍費支出分攤</t>
    <phoneticPr fontId="1" type="noConversion"/>
  </si>
  <si>
    <t>一般生</t>
    <phoneticPr fontId="1" type="noConversion"/>
  </si>
  <si>
    <t>審定本與藝能科</t>
  </si>
  <si>
    <t>審定本與藝能科個別</t>
    <phoneticPr fontId="1" type="noConversion"/>
  </si>
  <si>
    <t>國文</t>
    <phoneticPr fontId="8" type="noConversion"/>
  </si>
  <si>
    <t>數學</t>
    <phoneticPr fontId="8" type="noConversion"/>
  </si>
  <si>
    <t>社會</t>
    <phoneticPr fontId="8" type="noConversion"/>
  </si>
  <si>
    <t>自然科學</t>
    <phoneticPr fontId="8" type="noConversion"/>
  </si>
  <si>
    <t>英語</t>
    <phoneticPr fontId="8" type="noConversion"/>
  </si>
  <si>
    <t>健體</t>
    <phoneticPr fontId="8" type="noConversion"/>
  </si>
  <si>
    <t>綜合</t>
    <phoneticPr fontId="8" type="noConversion"/>
  </si>
  <si>
    <t>藝術</t>
    <phoneticPr fontId="8" type="noConversion"/>
  </si>
  <si>
    <t>科技</t>
    <phoneticPr fontId="8" type="noConversion"/>
  </si>
  <si>
    <t>每人補助金額</t>
    <phoneticPr fontId="8" type="noConversion"/>
  </si>
  <si>
    <t>低收入及中低收入學生數</t>
    <phoneticPr fontId="8" type="noConversion"/>
  </si>
  <si>
    <t>課本</t>
    <phoneticPr fontId="8" type="noConversion"/>
  </si>
  <si>
    <t>習作</t>
    <phoneticPr fontId="8" type="noConversion"/>
  </si>
  <si>
    <t>習作</t>
    <phoneticPr fontId="8" type="noConversion"/>
  </si>
  <si>
    <t>課本</t>
    <phoneticPr fontId="8" type="noConversion"/>
  </si>
  <si>
    <t>習作</t>
    <phoneticPr fontId="8" type="noConversion"/>
  </si>
  <si>
    <t>課本</t>
    <phoneticPr fontId="8" type="noConversion"/>
  </si>
  <si>
    <t>課本</t>
    <phoneticPr fontId="8" type="noConversion"/>
  </si>
  <si>
    <t>七年級</t>
    <phoneticPr fontId="8" type="noConversion"/>
  </si>
  <si>
    <t>八年級</t>
    <phoneticPr fontId="8" type="noConversion"/>
  </si>
  <si>
    <t>九年級</t>
    <phoneticPr fontId="8" type="noConversion"/>
  </si>
  <si>
    <t>一般生補助金額(A)</t>
    <phoneticPr fontId="8" type="noConversion"/>
  </si>
  <si>
    <t>2.統計表正本及原始憑證留校備查。</t>
    <phoneticPr fontId="8" type="noConversion"/>
  </si>
  <si>
    <t>承辦人：</t>
    <phoneticPr fontId="8" type="noConversion"/>
  </si>
  <si>
    <t>教務(導)主任：</t>
    <phoneticPr fontId="8" type="noConversion"/>
  </si>
  <si>
    <t>會計人員：</t>
    <phoneticPr fontId="8" type="noConversion"/>
  </si>
  <si>
    <t>校長：</t>
    <phoneticPr fontId="8" type="noConversion"/>
  </si>
  <si>
    <t>特教生</t>
    <phoneticPr fontId="1" type="noConversion"/>
  </si>
  <si>
    <t>補校生</t>
    <phoneticPr fontId="1" type="noConversion"/>
  </si>
  <si>
    <t>花東書籍費給付書商金額</t>
    <phoneticPr fontId="1" type="noConversion"/>
  </si>
  <si>
    <t>5-49列</t>
    <phoneticPr fontId="1" type="noConversion"/>
  </si>
  <si>
    <t>50-88列</t>
    <phoneticPr fontId="1" type="noConversion"/>
  </si>
  <si>
    <t>131-136列</t>
    <phoneticPr fontId="1" type="noConversion"/>
  </si>
  <si>
    <t>89-130列</t>
    <phoneticPr fontId="1" type="noConversion"/>
  </si>
  <si>
    <t>142-149列</t>
    <phoneticPr fontId="1" type="noConversion"/>
  </si>
  <si>
    <t>137-141列</t>
    <phoneticPr fontId="1" type="noConversion"/>
  </si>
  <si>
    <t>翰林</t>
    <phoneticPr fontId="4" type="noConversion"/>
  </si>
  <si>
    <t>佳音</t>
    <phoneticPr fontId="4" type="noConversion"/>
  </si>
  <si>
    <t>南一</t>
    <phoneticPr fontId="4" type="noConversion"/>
  </si>
  <si>
    <t>全華</t>
    <phoneticPr fontId="4" type="noConversion"/>
  </si>
  <si>
    <t>奇鼎</t>
    <phoneticPr fontId="4" type="noConversion"/>
  </si>
  <si>
    <t>國文</t>
  </si>
  <si>
    <t>數學</t>
  </si>
  <si>
    <t>社會</t>
  </si>
  <si>
    <t>自然科學</t>
  </si>
  <si>
    <t>健康與體育</t>
  </si>
  <si>
    <t>綜合活動</t>
  </si>
  <si>
    <t>藝術</t>
  </si>
  <si>
    <t>國中英語</t>
  </si>
  <si>
    <t>科技</t>
  </si>
  <si>
    <t>類別</t>
  </si>
  <si>
    <t>課本</t>
  </si>
  <si>
    <t>習作</t>
  </si>
  <si>
    <r>
      <rPr>
        <sz val="12"/>
        <rFont val="標楷體"/>
        <family val="4"/>
        <charset val="136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>)</t>
    </r>
  </si>
  <si>
    <t>年級</t>
    <phoneticPr fontId="1" type="noConversion"/>
  </si>
  <si>
    <t>無</t>
  </si>
  <si>
    <t>無</t>
    <phoneticPr fontId="4" type="noConversion"/>
  </si>
  <si>
    <t>花蓮縣</t>
    <phoneticPr fontId="8" type="noConversion"/>
  </si>
  <si>
    <t>審定本教科書補助合計</t>
    <phoneticPr fontId="8" type="noConversion"/>
  </si>
  <si>
    <t>國中</t>
    <phoneticPr fontId="1" type="noConversion"/>
  </si>
  <si>
    <t>本表供參，可自行修改</t>
    <phoneticPr fontId="1" type="noConversion"/>
  </si>
  <si>
    <r>
      <t>特教生/補校生使用一般版本教科書補助金額</t>
    </r>
    <r>
      <rPr>
        <sz val="12"/>
        <color indexed="10"/>
        <rFont val="標楷體"/>
        <family val="4"/>
        <charset val="136"/>
      </rPr>
      <t>(原價計算，自行填列)</t>
    </r>
    <r>
      <rPr>
        <sz val="12"/>
        <color indexed="8"/>
        <rFont val="標楷體"/>
        <family val="4"/>
        <charset val="136"/>
      </rPr>
      <t>(B)</t>
    </r>
    <phoneticPr fontId="8" type="noConversion"/>
  </si>
  <si>
    <t>藝能科教科書補助合計</t>
    <phoneticPr fontId="8" type="noConversion"/>
  </si>
  <si>
    <t>審定本</t>
    <phoneticPr fontId="8" type="noConversion"/>
  </si>
  <si>
    <t>藝能科</t>
    <phoneticPr fontId="8" type="noConversion"/>
  </si>
  <si>
    <t>審定本
合計</t>
    <phoneticPr fontId="8" type="noConversion"/>
  </si>
  <si>
    <t>藝能科
合計</t>
    <phoneticPr fontId="8" type="noConversion"/>
  </si>
  <si>
    <t>七</t>
    <phoneticPr fontId="8" type="noConversion"/>
  </si>
  <si>
    <t>八</t>
    <phoneticPr fontId="8" type="noConversion"/>
  </si>
  <si>
    <t>九</t>
    <phoneticPr fontId="8" type="noConversion"/>
  </si>
  <si>
    <t>110學年度第2學期審定本與藝能科教科書補助金額統計表</t>
    <phoneticPr fontId="8" type="noConversion"/>
  </si>
  <si>
    <t>課本1</t>
    <phoneticPr fontId="8" type="noConversion"/>
  </si>
  <si>
    <t>習作1</t>
    <phoneticPr fontId="8" type="noConversion"/>
  </si>
  <si>
    <t>課本2</t>
    <phoneticPr fontId="8" type="noConversion"/>
  </si>
  <si>
    <t>習作2</t>
    <phoneticPr fontId="8" type="noConversion"/>
  </si>
  <si>
    <t>年級總人數</t>
    <phoneticPr fontId="8" type="noConversion"/>
  </si>
  <si>
    <t>　科目
年級</t>
    <phoneticPr fontId="1" type="noConversion"/>
  </si>
  <si>
    <r>
      <t xml:space="preserve">年級
</t>
    </r>
    <r>
      <rPr>
        <sz val="11"/>
        <color indexed="8"/>
        <rFont val="標楷體"/>
        <family val="4"/>
        <charset val="136"/>
      </rPr>
      <t>補助金額</t>
    </r>
    <phoneticPr fontId="8" type="noConversion"/>
  </si>
  <si>
    <t>110學年度第2學期全校補助金額(A+B)</t>
    <phoneticPr fontId="8" type="noConversion"/>
  </si>
  <si>
    <t>縣補助
學生數</t>
    <phoneticPr fontId="8" type="noConversion"/>
  </si>
  <si>
    <t>補助版本：經教育部採購議價通過之審定本及藝能科教科書。</t>
    <phoneticPr fontId="8" type="noConversion"/>
  </si>
  <si>
    <t>1.學校名稱請記得填寫，列印建議以「橫向」、「窄邊界」、縮小「85%~90%」最佳。</t>
    <phoneticPr fontId="1" type="noConversion"/>
  </si>
  <si>
    <t>3.教師(含特教師)倘有使用一般教科書需求，應計入「學校用書」申請。</t>
    <phoneticPr fontId="1" type="noConversion"/>
  </si>
  <si>
    <t>學生用書→</t>
    <phoneticPr fontId="1" type="noConversion"/>
  </si>
  <si>
    <t>110學年度第2學期補助「花東地區接受義務教育學生書籍費」學校基本資料調查表(A表）</t>
    <phoneticPr fontId="1" type="noConversion"/>
  </si>
  <si>
    <t xml:space="preserve">學校資本資料 </t>
    <phoneticPr fontId="1" type="noConversion"/>
  </si>
  <si>
    <r>
      <t xml:space="preserve">花東補助學生身分別資料
</t>
    </r>
    <r>
      <rPr>
        <sz val="10"/>
        <color indexed="10"/>
        <rFont val="標楷體"/>
        <family val="4"/>
        <charset val="136"/>
      </rPr>
      <t>(請填列B表)</t>
    </r>
    <phoneticPr fontId="1" type="noConversion"/>
  </si>
  <si>
    <t>接受書籍費補助百分比(C=B÷A)</t>
    <phoneticPr fontId="1" type="noConversion"/>
  </si>
  <si>
    <t>花東教科書書籍費補助需求</t>
    <phoneticPr fontId="1" type="noConversion"/>
  </si>
  <si>
    <t>校名</t>
    <phoneticPr fontId="1" type="noConversion"/>
  </si>
  <si>
    <t>班級數</t>
    <phoneticPr fontId="1" type="noConversion"/>
  </si>
  <si>
    <t>全校學生數(A)</t>
    <phoneticPr fontId="1" type="noConversion"/>
  </si>
  <si>
    <t>低</t>
    <phoneticPr fontId="1" type="noConversion"/>
  </si>
  <si>
    <t>中低</t>
    <phoneticPr fontId="1" type="noConversion"/>
  </si>
  <si>
    <t>小計(B)</t>
    <phoneticPr fontId="1" type="noConversion"/>
  </si>
  <si>
    <r>
      <t>補助需求人數</t>
    </r>
    <r>
      <rPr>
        <b/>
        <sz val="10"/>
        <rFont val="標楷體"/>
        <family val="4"/>
        <charset val="136"/>
      </rPr>
      <t>(B)</t>
    </r>
    <phoneticPr fontId="1" type="noConversion"/>
  </si>
  <si>
    <t>所需補助金額
(B表總金額)</t>
    <phoneticPr fontId="1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</si>
  <si>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</si>
  <si>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</si>
  <si>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</si>
  <si>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女</t>
    <phoneticPr fontId="1" type="noConversion"/>
  </si>
  <si>
    <t>合計(A)</t>
    <phoneticPr fontId="1" type="noConversion"/>
  </si>
  <si>
    <t>收入戶</t>
    <phoneticPr fontId="1" type="noConversion"/>
  </si>
  <si>
    <t>合計</t>
    <phoneticPr fontId="1" type="noConversion"/>
  </si>
  <si>
    <t>合計</t>
    <phoneticPr fontId="1" type="noConversion"/>
  </si>
  <si>
    <t>必填</t>
    <phoneticPr fontId="1" type="noConversion"/>
  </si>
  <si>
    <t xml:space="preserve"> 註.未申請補助之學校也請回報相關基本資料，以利統計聯絡。</t>
    <phoneticPr fontId="1" type="noConversion"/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</si>
  <si>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1" type="noConversion"/>
  </si>
  <si>
    <t>班級</t>
    <phoneticPr fontId="1" type="noConversion"/>
  </si>
  <si>
    <t>導師姓名</t>
    <phoneticPr fontId="1" type="noConversion"/>
  </si>
  <si>
    <t>學生姓名</t>
    <phoneticPr fontId="1" type="noConversion"/>
  </si>
  <si>
    <t>性別
(是=1,否=0)</t>
    <phoneticPr fontId="1" type="noConversion"/>
  </si>
  <si>
    <t>學生身分
(是=1,否=0)</t>
    <phoneticPr fontId="1" type="noConversion"/>
  </si>
  <si>
    <t>每人補助金額
(請參考統計表)</t>
    <phoneticPr fontId="1" type="noConversion"/>
  </si>
  <si>
    <t>低收</t>
    <phoneticPr fontId="1" type="noConversion"/>
  </si>
  <si>
    <t>中低收</t>
    <phoneticPr fontId="1" type="noConversion"/>
  </si>
  <si>
    <t>孔鮮師</t>
    <phoneticPr fontId="1" type="noConversion"/>
  </si>
  <si>
    <t>張小明</t>
    <phoneticPr fontId="1" type="noConversion"/>
  </si>
  <si>
    <t>範例請自行刪除</t>
    <phoneticPr fontId="1" type="noConversion"/>
  </si>
  <si>
    <t>(自行增列)</t>
    <phoneticPr fontId="1" type="noConversion"/>
  </si>
  <si>
    <t>註.有關「學生身分別」欄，請擇一身分統計，切勿重複。</t>
    <phoneticPr fontId="1" type="noConversion"/>
  </si>
  <si>
    <t>編號</t>
  </si>
  <si>
    <t>適用年級</t>
  </si>
  <si>
    <t>單本價格</t>
  </si>
  <si>
    <t>–</t>
  </si>
  <si>
    <r>
      <rPr>
        <sz val="12"/>
        <rFont val="標楷體"/>
        <family val="4"/>
        <charset val="136"/>
      </rPr>
      <t>康軒
110J001</t>
    </r>
  </si>
  <si>
    <r>
      <rPr>
        <sz val="12"/>
        <rFont val="標楷體"/>
        <family val="4"/>
        <charset val="136"/>
      </rPr>
      <t>翰林
110J002</t>
    </r>
  </si>
  <si>
    <r>
      <rPr>
        <sz val="12"/>
        <rFont val="標楷體"/>
        <family val="4"/>
        <charset val="136"/>
      </rPr>
      <t>佳音
110J003</t>
    </r>
  </si>
  <si>
    <r>
      <rPr>
        <sz val="12"/>
        <rFont val="標楷體"/>
        <family val="4"/>
        <charset val="136"/>
      </rPr>
      <t>南一
110J004</t>
    </r>
  </si>
  <si>
    <r>
      <rPr>
        <sz val="12"/>
        <rFont val="標楷體"/>
        <family val="4"/>
        <charset val="136"/>
      </rPr>
      <t>全華
110J005</t>
    </r>
  </si>
  <si>
    <r>
      <rPr>
        <sz val="12"/>
        <rFont val="標楷體"/>
        <family val="4"/>
        <charset val="136"/>
      </rPr>
      <t>奇鼎
110J006</t>
    </r>
  </si>
  <si>
    <r>
      <rPr>
        <sz val="12"/>
        <rFont val="標楷體"/>
        <family val="4"/>
        <charset val="136"/>
      </rPr>
      <t>學習領域(科)</t>
    </r>
  </si>
  <si>
    <t>花東書籍費及縣補助</t>
  </si>
  <si>
    <t>教育部補助(學生用書)</t>
  </si>
  <si>
    <t>教育部補助(學生用書)</t>
    <phoneticPr fontId="1" type="noConversion"/>
  </si>
  <si>
    <t>第六冊</t>
  </si>
  <si>
    <r>
      <rPr>
        <sz val="14"/>
        <rFont val="標楷體"/>
        <family val="4"/>
        <charset val="136"/>
      </rPr>
      <t>110學年度第二學期教科圖書各版本單價表(國中)</t>
    </r>
  </si>
  <si>
    <t>康軒</t>
    <phoneticPr fontId="4" type="noConversion"/>
  </si>
  <si>
    <t>無</t>
    <phoneticPr fontId="8" type="noConversion"/>
  </si>
  <si>
    <t>補助對象：本縣公立國民中小學之學生。</t>
    <phoneticPr fontId="8" type="noConversion"/>
  </si>
  <si>
    <r>
      <rPr>
        <sz val="14"/>
        <color theme="1"/>
        <rFont val="標楷體"/>
        <family val="4"/>
        <charset val="136"/>
      </rPr>
      <t>教育部補助</t>
    </r>
    <r>
      <rPr>
        <b/>
        <sz val="14"/>
        <color theme="1"/>
        <rFont val="標楷體"/>
        <family val="4"/>
        <charset val="136"/>
      </rPr>
      <t>學生用書</t>
    </r>
    <r>
      <rPr>
        <sz val="14"/>
        <color theme="1"/>
        <rFont val="標楷體"/>
        <family val="4"/>
        <charset val="136"/>
      </rPr>
      <t>各年級金額示意表</t>
    </r>
    <phoneticPr fontId="1" type="noConversion"/>
  </si>
  <si>
    <t>教育部補助花東書籍費各年級金額示意表</t>
    <phoneticPr fontId="1" type="noConversion"/>
  </si>
  <si>
    <t>年級</t>
  </si>
  <si>
    <t>每人補助金額</t>
    <phoneticPr fontId="1" type="noConversion"/>
  </si>
  <si>
    <t>七年級</t>
    <phoneticPr fontId="8" type="noConversion"/>
  </si>
  <si>
    <t>八年級</t>
    <phoneticPr fontId="8" type="noConversion"/>
  </si>
  <si>
    <t>九年級</t>
    <phoneticPr fontId="8" type="noConversion"/>
  </si>
  <si>
    <t>學生教科書補助申請總額一覽表</t>
    <phoneticPr fontId="1" type="noConversion"/>
  </si>
  <si>
    <t>縣補助審定本與藝能科</t>
    <phoneticPr fontId="1" type="noConversion"/>
  </si>
  <si>
    <t>教育部補助花東書籍費</t>
    <phoneticPr fontId="1" type="noConversion"/>
  </si>
  <si>
    <t>教育部補助學生用書</t>
    <phoneticPr fontId="1" type="noConversion"/>
  </si>
  <si>
    <t>(a)</t>
    <phoneticPr fontId="8" type="noConversion"/>
  </si>
  <si>
    <t>(b)</t>
    <phoneticPr fontId="8" type="noConversion"/>
  </si>
  <si>
    <t>(c)</t>
    <phoneticPr fontId="8" type="noConversion"/>
  </si>
  <si>
    <t>(d)=(b)-(c)</t>
    <phoneticPr fontId="8" type="noConversion"/>
  </si>
  <si>
    <t>=(a)x(d)</t>
    <phoneticPr fontId="8" type="noConversion"/>
  </si>
  <si>
    <t>年級補助金額
=(a)x(c)</t>
    <phoneticPr fontId="1" type="noConversion"/>
  </si>
  <si>
    <t>學生用書每人補助(e)</t>
    <phoneticPr fontId="1" type="noConversion"/>
  </si>
  <si>
    <r>
      <t>低收入及中低收入學生之</t>
    </r>
    <r>
      <rPr>
        <b/>
        <sz val="9"/>
        <color theme="1"/>
        <rFont val="標楷體"/>
        <family val="4"/>
        <charset val="136"/>
      </rPr>
      <t>學生用書</t>
    </r>
    <r>
      <rPr>
        <sz val="9"/>
        <color theme="1"/>
        <rFont val="標楷體"/>
        <family val="4"/>
        <charset val="136"/>
      </rPr>
      <t>合計
=(c)x(e)</t>
    </r>
    <phoneticPr fontId="1" type="noConversion"/>
  </si>
  <si>
    <r>
      <t>一般生之</t>
    </r>
    <r>
      <rPr>
        <b/>
        <sz val="11"/>
        <color theme="1"/>
        <rFont val="標楷體"/>
        <family val="4"/>
        <charset val="136"/>
      </rPr>
      <t>學生用書</t>
    </r>
    <r>
      <rPr>
        <sz val="11"/>
        <color theme="1"/>
        <rFont val="標楷體"/>
        <family val="4"/>
        <charset val="136"/>
      </rPr>
      <t>合計
=(d)x(e)</t>
    </r>
    <phoneticPr fontId="1" type="noConversion"/>
  </si>
  <si>
    <t>年級學生用書合計
=(b)x(e)</t>
    <phoneticPr fontId="1" type="noConversion"/>
  </si>
  <si>
    <t>合計</t>
    <phoneticPr fontId="8" type="noConversion"/>
  </si>
  <si>
    <t>審定本與藝能科
支出分攤</t>
    <phoneticPr fontId="1" type="noConversion"/>
  </si>
  <si>
    <t>第二冊</t>
    <phoneticPr fontId="1" type="noConversion"/>
  </si>
  <si>
    <t>第四冊</t>
    <phoneticPr fontId="1" type="noConversion"/>
  </si>
  <si>
    <t>→→→→→→→→右方欄位僅供參考，免列印→→→→→→→</t>
    <phoneticPr fontId="8" type="noConversion"/>
  </si>
  <si>
    <t>(範例)七甲</t>
    <phoneticPr fontId="1" type="noConversion"/>
  </si>
  <si>
    <t>○○國民中學</t>
    <phoneticPr fontId="8" type="noConversion"/>
  </si>
  <si>
    <t>↑花東書籍費總分擔數</t>
    <phoneticPr fontId="1" type="noConversion"/>
  </si>
  <si>
    <t>↑縣補助總分擔數</t>
    <phoneticPr fontId="1" type="noConversion"/>
  </si>
  <si>
    <t>應付所有書商學生教科書金額總計</t>
    <phoneticPr fontId="1" type="noConversion"/>
  </si>
  <si>
    <t>年級</t>
    <phoneticPr fontId="1" type="noConversion"/>
  </si>
  <si>
    <t>1.請將本表列印核章後，於111年2月18日(星期五)前，掃描上傳至校務系統。</t>
    <phoneticPr fontId="8" type="noConversion"/>
  </si>
  <si>
    <t>2.本表核章後，請於111年2月18日(星期五)前，掃描上傳至校務系統。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</si>
</sst>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);[Red]\(#,##0\)"/>
    <numFmt numFmtId="178" formatCode="#,##0_ "/>
    <numFmt numFmtId="179" formatCode="0.0%"/>
    <numFmt numFmtId="180" formatCode="_-* #,##0_-;\-* #,##0_-;_-* &quot;-&quot;??_-;_-@_-"/>
  </numFmts>
  <fonts count="84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8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6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微軟正黑體"/>
      <family val="2"/>
      <charset val="136"/>
    </font>
    <font>
      <sz val="12"/>
      <color indexed="10"/>
      <name val="標楷體"/>
      <family val="4"/>
      <charset val="136"/>
    </font>
    <font>
      <sz val="10"/>
      <color theme="9" tint="-0.499984740745262"/>
      <name val="細明體"/>
      <family val="3"/>
      <charset val="136"/>
    </font>
    <font>
      <sz val="10"/>
      <color theme="8" tint="-0.499984740745262"/>
      <name val="細明體"/>
      <family val="3"/>
      <charset val="136"/>
    </font>
    <font>
      <sz val="10"/>
      <color rgb="FF00B050"/>
      <name val="細明體"/>
      <family val="3"/>
      <charset val="136"/>
    </font>
    <font>
      <sz val="10"/>
      <color rgb="FF0070C0"/>
      <name val="細明體"/>
      <family val="3"/>
      <charset val="136"/>
    </font>
    <font>
      <sz val="10"/>
      <color rgb="FF7030A0"/>
      <name val="細明體"/>
      <family val="3"/>
      <charset val="136"/>
    </font>
    <font>
      <sz val="10"/>
      <color rgb="FF7030A0"/>
      <name val="新細明體"/>
      <family val="1"/>
      <charset val="136"/>
    </font>
    <font>
      <sz val="10"/>
      <color theme="8" tint="-0.499984740745262"/>
      <name val="新細明體"/>
      <family val="1"/>
      <charset val="136"/>
    </font>
    <font>
      <sz val="10"/>
      <color rgb="FF0070C0"/>
      <name val="新細明體"/>
      <family val="1"/>
      <charset val="136"/>
    </font>
    <font>
      <sz val="10"/>
      <color rgb="FF00B050"/>
      <name val="新細明體"/>
      <family val="1"/>
      <charset val="136"/>
    </font>
    <font>
      <sz val="10"/>
      <color theme="9" tint="-0.499984740745262"/>
      <name val="新細明體"/>
      <family val="1"/>
      <charset val="136"/>
    </font>
    <font>
      <sz val="10"/>
      <color rgb="FF7030A0"/>
      <name val="微軟正黑體"/>
      <family val="2"/>
      <charset val="136"/>
    </font>
    <font>
      <sz val="10"/>
      <color theme="8" tint="-0.49998474074526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theme="9" tint="-0.499984740745262"/>
      <name val="微軟正黑體"/>
      <family val="2"/>
      <charset val="136"/>
    </font>
    <font>
      <sz val="10"/>
      <color rgb="FF00B050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33CC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sz val="18"/>
      <color rgb="FFFF0000"/>
      <name val="微軟正黑體"/>
      <family val="2"/>
      <charset val="136"/>
    </font>
    <font>
      <sz val="8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1"/>
      <name val="標楷體"/>
      <family val="4"/>
      <charset val="136"/>
    </font>
    <font>
      <b/>
      <sz val="1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name val="新細明體"/>
      <family val="1"/>
      <charset val="136"/>
    </font>
    <font>
      <sz val="11"/>
      <name val="新細明體"/>
      <family val="1"/>
      <charset val="136"/>
      <scheme val="major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indexed="81"/>
      <name val="細明體"/>
      <family val="3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8"/>
      <color rgb="FFFF000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0"/>
      <name val="細明體"/>
      <family val="3"/>
      <charset val="136"/>
    </font>
    <font>
      <b/>
      <sz val="10"/>
      <color rgb="FF7030A0"/>
      <name val="細明體"/>
      <family val="3"/>
      <charset val="136"/>
    </font>
    <font>
      <b/>
      <sz val="10"/>
      <color theme="8" tint="-0.499984740745262"/>
      <name val="細明體"/>
      <family val="3"/>
      <charset val="136"/>
    </font>
    <font>
      <b/>
      <sz val="10"/>
      <color rgb="FF0070C0"/>
      <name val="細明體"/>
      <family val="3"/>
      <charset val="136"/>
    </font>
    <font>
      <b/>
      <sz val="10"/>
      <color rgb="FF00B050"/>
      <name val="細明體"/>
      <family val="3"/>
      <charset val="136"/>
    </font>
    <font>
      <b/>
      <sz val="10"/>
      <color theme="9" tint="-0.499984740745262"/>
      <name val="細明體"/>
      <family val="3"/>
      <charset val="136"/>
    </font>
    <font>
      <b/>
      <sz val="10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3" fillId="0" borderId="0"/>
  </cellStyleXfs>
  <cellXfs count="5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76" fontId="2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/>
    <xf numFmtId="0" fontId="20" fillId="0" borderId="1" xfId="0" applyFont="1" applyBorder="1"/>
    <xf numFmtId="0" fontId="19" fillId="0" borderId="1" xfId="0" applyFont="1" applyBorder="1"/>
    <xf numFmtId="0" fontId="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4" borderId="0" xfId="0" quotePrefix="1" applyFill="1" applyBorder="1" applyAlignment="1">
      <alignment horizontal="center"/>
    </xf>
    <xf numFmtId="176" fontId="2" fillId="4" borderId="4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6" xfId="0" quotePrefix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quotePrefix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quotePrefix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76" fontId="2" fillId="5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7" fillId="0" borderId="1" xfId="0" applyFont="1" applyBorder="1"/>
    <xf numFmtId="0" fontId="17" fillId="0" borderId="2" xfId="0" applyFont="1" applyBorder="1" applyAlignment="1">
      <alignment horizontal="center"/>
    </xf>
    <xf numFmtId="176" fontId="2" fillId="7" borderId="11" xfId="0" applyNumberFormat="1" applyFont="1" applyFill="1" applyBorder="1" applyAlignment="1">
      <alignment horizontal="center" vertical="center" wrapText="1"/>
    </xf>
    <xf numFmtId="176" fontId="2" fillId="7" borderId="4" xfId="0" applyNumberFormat="1" applyFont="1" applyFill="1" applyBorder="1" applyAlignment="1">
      <alignment horizontal="center" vertical="center" wrapText="1"/>
    </xf>
    <xf numFmtId="176" fontId="2" fillId="8" borderId="4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9" borderId="0" xfId="0" applyFill="1"/>
    <xf numFmtId="0" fontId="0" fillId="0" borderId="0" xfId="0" quotePrefix="1" applyFill="1" applyAlignment="1">
      <alignment horizontal="center" vertical="center"/>
    </xf>
    <xf numFmtId="178" fontId="0" fillId="0" borderId="0" xfId="0" applyNumberFormat="1" applyFill="1"/>
    <xf numFmtId="177" fontId="21" fillId="0" borderId="13" xfId="0" applyNumberFormat="1" applyFont="1" applyBorder="1" applyAlignment="1" applyProtection="1">
      <alignment horizontal="center"/>
      <protection locked="0"/>
    </xf>
    <xf numFmtId="177" fontId="21" fillId="0" borderId="6" xfId="0" applyNumberFormat="1" applyFont="1" applyBorder="1" applyAlignment="1" applyProtection="1">
      <alignment horizontal="center"/>
      <protection locked="0"/>
    </xf>
    <xf numFmtId="177" fontId="21" fillId="7" borderId="6" xfId="0" applyNumberFormat="1" applyFont="1" applyFill="1" applyBorder="1" applyAlignment="1" applyProtection="1">
      <alignment horizontal="center"/>
      <protection locked="0"/>
    </xf>
    <xf numFmtId="177" fontId="21" fillId="8" borderId="6" xfId="0" applyNumberFormat="1" applyFont="1" applyFill="1" applyBorder="1" applyAlignment="1" applyProtection="1">
      <alignment horizontal="center"/>
      <protection locked="0"/>
    </xf>
    <xf numFmtId="177" fontId="21" fillId="0" borderId="14" xfId="0" applyNumberFormat="1" applyFont="1" applyBorder="1" applyAlignment="1" applyProtection="1">
      <alignment horizontal="center"/>
      <protection locked="0"/>
    </xf>
    <xf numFmtId="177" fontId="21" fillId="0" borderId="15" xfId="0" applyNumberFormat="1" applyFont="1" applyBorder="1" applyAlignment="1" applyProtection="1">
      <alignment horizontal="center"/>
      <protection locked="0"/>
    </xf>
    <xf numFmtId="177" fontId="21" fillId="0" borderId="1" xfId="0" applyNumberFormat="1" applyFont="1" applyBorder="1" applyAlignment="1" applyProtection="1">
      <alignment horizontal="center"/>
      <protection locked="0"/>
    </xf>
    <xf numFmtId="177" fontId="21" fillId="7" borderId="1" xfId="0" applyNumberFormat="1" applyFont="1" applyFill="1" applyBorder="1" applyAlignment="1" applyProtection="1">
      <alignment horizontal="center"/>
      <protection locked="0"/>
    </xf>
    <xf numFmtId="177" fontId="21" fillId="8" borderId="1" xfId="0" applyNumberFormat="1" applyFont="1" applyFill="1" applyBorder="1" applyAlignment="1" applyProtection="1">
      <alignment horizontal="center"/>
      <protection locked="0"/>
    </xf>
    <xf numFmtId="177" fontId="21" fillId="0" borderId="16" xfId="0" applyNumberFormat="1" applyFont="1" applyBorder="1" applyAlignment="1" applyProtection="1">
      <alignment horizontal="center"/>
      <protection locked="0"/>
    </xf>
    <xf numFmtId="177" fontId="18" fillId="0" borderId="15" xfId="0" applyNumberFormat="1" applyFont="1" applyBorder="1" applyAlignment="1" applyProtection="1">
      <alignment horizontal="center"/>
      <protection locked="0"/>
    </xf>
    <xf numFmtId="177" fontId="18" fillId="0" borderId="1" xfId="0" applyNumberFormat="1" applyFont="1" applyBorder="1" applyAlignment="1" applyProtection="1">
      <alignment horizontal="center"/>
      <protection locked="0"/>
    </xf>
    <xf numFmtId="177" fontId="18" fillId="7" borderId="1" xfId="0" applyNumberFormat="1" applyFont="1" applyFill="1" applyBorder="1" applyAlignment="1" applyProtection="1">
      <alignment horizontal="center"/>
      <protection locked="0"/>
    </xf>
    <xf numFmtId="177" fontId="18" fillId="8" borderId="1" xfId="0" applyNumberFormat="1" applyFont="1" applyFill="1" applyBorder="1" applyAlignment="1" applyProtection="1">
      <alignment horizontal="center"/>
      <protection locked="0"/>
    </xf>
    <xf numFmtId="177" fontId="18" fillId="0" borderId="16" xfId="0" applyNumberFormat="1" applyFont="1" applyBorder="1" applyAlignment="1" applyProtection="1">
      <alignment horizontal="center"/>
      <protection locked="0"/>
    </xf>
    <xf numFmtId="177" fontId="2" fillId="0" borderId="15" xfId="0" applyNumberFormat="1" applyFont="1" applyBorder="1" applyAlignment="1" applyProtection="1">
      <alignment horizontal="center"/>
      <protection locked="0"/>
    </xf>
    <xf numFmtId="177" fontId="2" fillId="0" borderId="1" xfId="0" applyNumberFormat="1" applyFont="1" applyBorder="1" applyAlignment="1" applyProtection="1">
      <alignment horizontal="center"/>
      <protection locked="0"/>
    </xf>
    <xf numFmtId="177" fontId="2" fillId="7" borderId="1" xfId="0" applyNumberFormat="1" applyFont="1" applyFill="1" applyBorder="1" applyAlignment="1" applyProtection="1">
      <alignment horizontal="center"/>
      <protection locked="0"/>
    </xf>
    <xf numFmtId="177" fontId="2" fillId="8" borderId="1" xfId="0" applyNumberFormat="1" applyFont="1" applyFill="1" applyBorder="1" applyAlignment="1" applyProtection="1">
      <alignment horizontal="center"/>
      <protection locked="0"/>
    </xf>
    <xf numFmtId="177" fontId="2" fillId="0" borderId="16" xfId="0" applyNumberFormat="1" applyFont="1" applyBorder="1" applyAlignment="1" applyProtection="1">
      <alignment horizontal="center"/>
      <protection locked="0"/>
    </xf>
    <xf numFmtId="177" fontId="20" fillId="0" borderId="15" xfId="0" applyNumberFormat="1" applyFont="1" applyBorder="1" applyAlignment="1" applyProtection="1">
      <alignment horizontal="center"/>
      <protection locked="0"/>
    </xf>
    <xf numFmtId="177" fontId="20" fillId="0" borderId="1" xfId="0" applyNumberFormat="1" applyFont="1" applyBorder="1" applyAlignment="1" applyProtection="1">
      <alignment horizontal="center"/>
      <protection locked="0"/>
    </xf>
    <xf numFmtId="177" fontId="20" fillId="7" borderId="1" xfId="0" applyNumberFormat="1" applyFont="1" applyFill="1" applyBorder="1" applyAlignment="1" applyProtection="1">
      <alignment horizontal="center"/>
      <protection locked="0"/>
    </xf>
    <xf numFmtId="177" fontId="20" fillId="8" borderId="1" xfId="0" applyNumberFormat="1" applyFont="1" applyFill="1" applyBorder="1" applyAlignment="1" applyProtection="1">
      <alignment horizontal="center"/>
      <protection locked="0"/>
    </xf>
    <xf numFmtId="177" fontId="20" fillId="0" borderId="16" xfId="0" applyNumberFormat="1" applyFont="1" applyBorder="1" applyAlignment="1" applyProtection="1">
      <alignment horizontal="center"/>
      <protection locked="0"/>
    </xf>
    <xf numFmtId="177" fontId="19" fillId="0" borderId="15" xfId="0" applyNumberFormat="1" applyFont="1" applyBorder="1" applyAlignment="1" applyProtection="1">
      <alignment horizontal="center"/>
      <protection locked="0"/>
    </xf>
    <xf numFmtId="177" fontId="19" fillId="0" borderId="1" xfId="0" applyNumberFormat="1" applyFont="1" applyBorder="1" applyAlignment="1" applyProtection="1">
      <alignment horizontal="center"/>
      <protection locked="0"/>
    </xf>
    <xf numFmtId="177" fontId="19" fillId="7" borderId="1" xfId="0" applyNumberFormat="1" applyFont="1" applyFill="1" applyBorder="1" applyAlignment="1" applyProtection="1">
      <alignment horizontal="center"/>
      <protection locked="0"/>
    </xf>
    <xf numFmtId="177" fontId="19" fillId="8" borderId="1" xfId="0" applyNumberFormat="1" applyFont="1" applyFill="1" applyBorder="1" applyAlignment="1" applyProtection="1">
      <alignment horizontal="center"/>
      <protection locked="0"/>
    </xf>
    <xf numFmtId="177" fontId="19" fillId="0" borderId="16" xfId="0" applyNumberFormat="1" applyFont="1" applyBorder="1" applyAlignment="1" applyProtection="1">
      <alignment horizontal="center"/>
      <protection locked="0"/>
    </xf>
    <xf numFmtId="177" fontId="17" fillId="0" borderId="15" xfId="0" applyNumberFormat="1" applyFont="1" applyBorder="1" applyAlignment="1" applyProtection="1">
      <alignment horizontal="center"/>
      <protection locked="0"/>
    </xf>
    <xf numFmtId="177" fontId="17" fillId="0" borderId="1" xfId="0" applyNumberFormat="1" applyFont="1" applyBorder="1" applyAlignment="1" applyProtection="1">
      <alignment horizontal="center"/>
      <protection locked="0"/>
    </xf>
    <xf numFmtId="177" fontId="17" fillId="7" borderId="1" xfId="0" applyNumberFormat="1" applyFont="1" applyFill="1" applyBorder="1" applyAlignment="1" applyProtection="1">
      <alignment horizontal="center"/>
      <protection locked="0"/>
    </xf>
    <xf numFmtId="177" fontId="17" fillId="8" borderId="1" xfId="0" applyNumberFormat="1" applyFont="1" applyFill="1" applyBorder="1" applyAlignment="1" applyProtection="1">
      <alignment horizontal="center"/>
      <protection locked="0"/>
    </xf>
    <xf numFmtId="177" fontId="17" fillId="0" borderId="16" xfId="0" applyNumberFormat="1" applyFont="1" applyBorder="1" applyAlignment="1" applyProtection="1">
      <alignment horizontal="center"/>
      <protection locked="0"/>
    </xf>
    <xf numFmtId="176" fontId="2" fillId="0" borderId="11" xfId="0" applyNumberFormat="1" applyFont="1" applyBorder="1" applyAlignment="1" applyProtection="1">
      <alignment horizontal="center"/>
      <protection locked="0"/>
    </xf>
    <xf numFmtId="176" fontId="2" fillId="0" borderId="4" xfId="0" applyNumberFormat="1" applyFont="1" applyBorder="1" applyAlignment="1" applyProtection="1">
      <alignment horizontal="center"/>
      <protection locked="0"/>
    </xf>
    <xf numFmtId="176" fontId="2" fillId="0" borderId="17" xfId="0" applyNumberFormat="1" applyFont="1" applyBorder="1" applyAlignment="1" applyProtection="1">
      <alignment horizontal="center"/>
      <protection locked="0"/>
    </xf>
    <xf numFmtId="176" fontId="2" fillId="7" borderId="18" xfId="0" applyNumberFormat="1" applyFont="1" applyFill="1" applyBorder="1" applyAlignment="1" applyProtection="1">
      <alignment horizontal="center" vertical="center" wrapText="1"/>
      <protection locked="0"/>
    </xf>
    <xf numFmtId="177" fontId="2" fillId="7" borderId="19" xfId="0" applyNumberFormat="1" applyFont="1" applyFill="1" applyBorder="1" applyAlignment="1" applyProtection="1">
      <alignment horizontal="center" vertical="center"/>
      <protection locked="0"/>
    </xf>
    <xf numFmtId="176" fontId="2" fillId="0" borderId="20" xfId="0" applyNumberFormat="1" applyFont="1" applyBorder="1" applyAlignment="1" applyProtection="1">
      <alignment horizontal="center" vertical="center"/>
      <protection locked="0"/>
    </xf>
    <xf numFmtId="176" fontId="2" fillId="8" borderId="18" xfId="0" applyNumberFormat="1" applyFont="1" applyFill="1" applyBorder="1" applyAlignment="1" applyProtection="1">
      <alignment horizontal="center" vertical="center" wrapText="1"/>
      <protection locked="0"/>
    </xf>
    <xf numFmtId="177" fontId="2" fillId="8" borderId="19" xfId="0" applyNumberFormat="1" applyFont="1" applyFill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77" fontId="22" fillId="6" borderId="13" xfId="0" applyNumberFormat="1" applyFont="1" applyFill="1" applyBorder="1" applyProtection="1"/>
    <xf numFmtId="177" fontId="22" fillId="6" borderId="15" xfId="0" applyNumberFormat="1" applyFont="1" applyFill="1" applyBorder="1" applyProtection="1"/>
    <xf numFmtId="177" fontId="23" fillId="6" borderId="15" xfId="0" applyNumberFormat="1" applyFont="1" applyFill="1" applyBorder="1" applyProtection="1"/>
    <xf numFmtId="177" fontId="0" fillId="6" borderId="15" xfId="0" applyNumberFormat="1" applyFont="1" applyFill="1" applyBorder="1" applyProtection="1"/>
    <xf numFmtId="177" fontId="24" fillId="6" borderId="15" xfId="0" applyNumberFormat="1" applyFont="1" applyFill="1" applyBorder="1" applyProtection="1"/>
    <xf numFmtId="177" fontId="25" fillId="6" borderId="15" xfId="0" applyNumberFormat="1" applyFont="1" applyFill="1" applyBorder="1" applyProtection="1"/>
    <xf numFmtId="177" fontId="26" fillId="6" borderId="15" xfId="0" applyNumberFormat="1" applyFont="1" applyFill="1" applyBorder="1" applyProtection="1"/>
    <xf numFmtId="177" fontId="22" fillId="5" borderId="6" xfId="0" applyNumberFormat="1" applyFont="1" applyFill="1" applyBorder="1" applyProtection="1"/>
    <xf numFmtId="177" fontId="22" fillId="4" borderId="6" xfId="0" applyNumberFormat="1" applyFont="1" applyFill="1" applyBorder="1" applyProtection="1"/>
    <xf numFmtId="177" fontId="22" fillId="5" borderId="1" xfId="0" applyNumberFormat="1" applyFont="1" applyFill="1" applyBorder="1" applyProtection="1"/>
    <xf numFmtId="177" fontId="22" fillId="4" borderId="1" xfId="0" applyNumberFormat="1" applyFont="1" applyFill="1" applyBorder="1" applyProtection="1"/>
    <xf numFmtId="177" fontId="23" fillId="5" borderId="1" xfId="0" applyNumberFormat="1" applyFont="1" applyFill="1" applyBorder="1" applyProtection="1"/>
    <xf numFmtId="177" fontId="23" fillId="4" borderId="1" xfId="0" applyNumberFormat="1" applyFont="1" applyFill="1" applyBorder="1" applyProtection="1"/>
    <xf numFmtId="177" fontId="0" fillId="5" borderId="1" xfId="0" applyNumberFormat="1" applyFont="1" applyFill="1" applyBorder="1" applyProtection="1"/>
    <xf numFmtId="177" fontId="0" fillId="4" borderId="1" xfId="0" applyNumberFormat="1" applyFont="1" applyFill="1" applyBorder="1" applyProtection="1"/>
    <xf numFmtId="177" fontId="24" fillId="5" borderId="1" xfId="0" applyNumberFormat="1" applyFont="1" applyFill="1" applyBorder="1" applyProtection="1"/>
    <xf numFmtId="177" fontId="24" fillId="4" borderId="1" xfId="0" applyNumberFormat="1" applyFont="1" applyFill="1" applyBorder="1" applyProtection="1"/>
    <xf numFmtId="177" fontId="25" fillId="5" borderId="1" xfId="0" applyNumberFormat="1" applyFont="1" applyFill="1" applyBorder="1" applyProtection="1"/>
    <xf numFmtId="177" fontId="25" fillId="4" borderId="1" xfId="0" applyNumberFormat="1" applyFont="1" applyFill="1" applyBorder="1" applyProtection="1"/>
    <xf numFmtId="177" fontId="26" fillId="5" borderId="1" xfId="0" applyNumberFormat="1" applyFont="1" applyFill="1" applyBorder="1" applyProtection="1"/>
    <xf numFmtId="177" fontId="26" fillId="4" borderId="1" xfId="0" applyNumberFormat="1" applyFont="1" applyFill="1" applyBorder="1" applyProtection="1"/>
    <xf numFmtId="177" fontId="26" fillId="5" borderId="22" xfId="0" applyNumberFormat="1" applyFont="1" applyFill="1" applyBorder="1" applyProtection="1"/>
    <xf numFmtId="177" fontId="26" fillId="4" borderId="23" xfId="0" applyNumberFormat="1" applyFont="1" applyFill="1" applyBorder="1" applyProtection="1"/>
    <xf numFmtId="177" fontId="0" fillId="5" borderId="24" xfId="0" applyNumberFormat="1" applyFill="1" applyBorder="1" applyAlignment="1" applyProtection="1">
      <alignment horizontal="center" vertical="center"/>
    </xf>
    <xf numFmtId="176" fontId="2" fillId="4" borderId="25" xfId="0" applyNumberFormat="1" applyFont="1" applyFill="1" applyBorder="1" applyAlignment="1" applyProtection="1">
      <alignment horizontal="center" vertical="center" wrapText="1"/>
    </xf>
    <xf numFmtId="177" fontId="0" fillId="4" borderId="24" xfId="0" applyNumberFormat="1" applyFill="1" applyBorder="1" applyAlignment="1" applyProtection="1">
      <alignment horizontal="center" vertical="center"/>
    </xf>
    <xf numFmtId="177" fontId="22" fillId="3" borderId="6" xfId="0" applyNumberFormat="1" applyFont="1" applyFill="1" applyBorder="1" applyProtection="1"/>
    <xf numFmtId="177" fontId="22" fillId="3" borderId="1" xfId="0" applyNumberFormat="1" applyFont="1" applyFill="1" applyBorder="1" applyProtection="1"/>
    <xf numFmtId="177" fontId="23" fillId="3" borderId="1" xfId="0" applyNumberFormat="1" applyFont="1" applyFill="1" applyBorder="1" applyProtection="1"/>
    <xf numFmtId="177" fontId="0" fillId="3" borderId="1" xfId="0" applyNumberFormat="1" applyFont="1" applyFill="1" applyBorder="1" applyProtection="1"/>
    <xf numFmtId="177" fontId="24" fillId="3" borderId="1" xfId="0" applyNumberFormat="1" applyFont="1" applyFill="1" applyBorder="1" applyProtection="1"/>
    <xf numFmtId="177" fontId="25" fillId="3" borderId="1" xfId="0" applyNumberFormat="1" applyFont="1" applyFill="1" applyBorder="1" applyProtection="1"/>
    <xf numFmtId="177" fontId="26" fillId="3" borderId="1" xfId="0" applyNumberFormat="1" applyFont="1" applyFill="1" applyBorder="1" applyProtection="1"/>
    <xf numFmtId="177" fontId="26" fillId="3" borderId="23" xfId="0" applyNumberFormat="1" applyFont="1" applyFill="1" applyBorder="1" applyProtection="1"/>
    <xf numFmtId="177" fontId="0" fillId="3" borderId="24" xfId="0" applyNumberFormat="1" applyFill="1" applyBorder="1" applyAlignment="1" applyProtection="1">
      <alignment horizontal="center" vertical="center"/>
    </xf>
    <xf numFmtId="176" fontId="2" fillId="3" borderId="12" xfId="0" applyNumberFormat="1" applyFont="1" applyFill="1" applyBorder="1" applyAlignment="1" applyProtection="1">
      <alignment horizontal="center" vertical="center" wrapText="1"/>
    </xf>
    <xf numFmtId="177" fontId="22" fillId="3" borderId="14" xfId="0" applyNumberFormat="1" applyFont="1" applyFill="1" applyBorder="1" applyProtection="1"/>
    <xf numFmtId="177" fontId="22" fillId="3" borderId="16" xfId="0" applyNumberFormat="1" applyFont="1" applyFill="1" applyBorder="1" applyProtection="1"/>
    <xf numFmtId="177" fontId="23" fillId="3" borderId="16" xfId="0" applyNumberFormat="1" applyFont="1" applyFill="1" applyBorder="1" applyProtection="1"/>
    <xf numFmtId="177" fontId="0" fillId="3" borderId="16" xfId="0" applyNumberFormat="1" applyFont="1" applyFill="1" applyBorder="1" applyProtection="1"/>
    <xf numFmtId="177" fontId="24" fillId="3" borderId="16" xfId="0" applyNumberFormat="1" applyFont="1" applyFill="1" applyBorder="1" applyProtection="1"/>
    <xf numFmtId="177" fontId="25" fillId="3" borderId="16" xfId="0" applyNumberFormat="1" applyFont="1" applyFill="1" applyBorder="1" applyProtection="1"/>
    <xf numFmtId="177" fontId="26" fillId="3" borderId="16" xfId="0" applyNumberFormat="1" applyFont="1" applyFill="1" applyBorder="1" applyProtection="1"/>
    <xf numFmtId="177" fontId="26" fillId="3" borderId="26" xfId="0" applyNumberFormat="1" applyFont="1" applyFill="1" applyBorder="1" applyProtection="1"/>
    <xf numFmtId="177" fontId="0" fillId="9" borderId="6" xfId="0" applyNumberFormat="1" applyFill="1" applyBorder="1" applyAlignment="1" applyProtection="1">
      <alignment horizontal="center" vertical="center"/>
    </xf>
    <xf numFmtId="177" fontId="0" fillId="4" borderId="1" xfId="0" applyNumberFormat="1" applyFill="1" applyBorder="1" applyAlignment="1" applyProtection="1">
      <alignment horizontal="center" vertical="center"/>
    </xf>
    <xf numFmtId="176" fontId="2" fillId="5" borderId="25" xfId="0" applyNumberFormat="1" applyFont="1" applyFill="1" applyBorder="1" applyAlignment="1" applyProtection="1">
      <alignment horizontal="center" vertical="center" wrapText="1"/>
    </xf>
    <xf numFmtId="176" fontId="2" fillId="3" borderId="25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76" fontId="22" fillId="0" borderId="1" xfId="0" quotePrefix="1" applyNumberFormat="1" applyFont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178" fontId="0" fillId="0" borderId="1" xfId="0" applyNumberFormat="1" applyBorder="1" applyAlignment="1" applyProtection="1">
      <alignment horizontal="center" vertical="center"/>
    </xf>
    <xf numFmtId="178" fontId="22" fillId="0" borderId="27" xfId="0" applyNumberFormat="1" applyFont="1" applyBorder="1" applyAlignment="1" applyProtection="1">
      <alignment horizontal="center" vertical="center"/>
    </xf>
    <xf numFmtId="178" fontId="22" fillId="0" borderId="1" xfId="0" applyNumberFormat="1" applyFont="1" applyBorder="1" applyAlignment="1" applyProtection="1">
      <alignment horizontal="center" vertical="center"/>
    </xf>
    <xf numFmtId="176" fontId="23" fillId="0" borderId="1" xfId="0" quotePrefix="1" applyNumberFormat="1" applyFont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178" fontId="23" fillId="0" borderId="27" xfId="0" applyNumberFormat="1" applyFont="1" applyBorder="1" applyAlignment="1" applyProtection="1">
      <alignment horizontal="center" vertical="center"/>
    </xf>
    <xf numFmtId="176" fontId="24" fillId="0" borderId="1" xfId="0" quotePrefix="1" applyNumberFormat="1" applyFont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178" fontId="24" fillId="0" borderId="27" xfId="0" applyNumberFormat="1" applyFont="1" applyBorder="1" applyAlignment="1" applyProtection="1">
      <alignment horizontal="center" vertical="center"/>
    </xf>
    <xf numFmtId="176" fontId="0" fillId="0" borderId="1" xfId="0" quotePrefix="1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27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horizontal="center" vertical="center"/>
    </xf>
    <xf numFmtId="176" fontId="26" fillId="0" borderId="1" xfId="0" quotePrefix="1" applyNumberFormat="1" applyFont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</xf>
    <xf numFmtId="178" fontId="26" fillId="0" borderId="27" xfId="0" applyNumberFormat="1" applyFont="1" applyBorder="1" applyAlignment="1" applyProtection="1">
      <alignment horizontal="center" vertical="center"/>
    </xf>
    <xf numFmtId="176" fontId="25" fillId="0" borderId="1" xfId="0" quotePrefix="1" applyNumberFormat="1" applyFont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 wrapText="1"/>
    </xf>
    <xf numFmtId="178" fontId="25" fillId="0" borderId="27" xfId="0" applyNumberFormat="1" applyFont="1" applyBorder="1" applyAlignment="1" applyProtection="1">
      <alignment horizontal="center" vertical="center"/>
    </xf>
    <xf numFmtId="177" fontId="22" fillId="0" borderId="6" xfId="0" applyNumberFormat="1" applyFont="1" applyBorder="1" applyProtection="1">
      <protection locked="0"/>
    </xf>
    <xf numFmtId="177" fontId="22" fillId="0" borderId="1" xfId="0" applyNumberFormat="1" applyFont="1" applyBorder="1" applyProtection="1">
      <protection locked="0"/>
    </xf>
    <xf numFmtId="177" fontId="23" fillId="0" borderId="1" xfId="0" applyNumberFormat="1" applyFont="1" applyBorder="1" applyProtection="1">
      <protection locked="0"/>
    </xf>
    <xf numFmtId="177" fontId="0" fillId="0" borderId="1" xfId="0" applyNumberFormat="1" applyFont="1" applyBorder="1" applyProtection="1">
      <protection locked="0"/>
    </xf>
    <xf numFmtId="177" fontId="24" fillId="0" borderId="1" xfId="0" applyNumberFormat="1" applyFont="1" applyBorder="1" applyProtection="1">
      <protection locked="0"/>
    </xf>
    <xf numFmtId="177" fontId="25" fillId="0" borderId="1" xfId="0" applyNumberFormat="1" applyFont="1" applyBorder="1" applyProtection="1">
      <protection locked="0"/>
    </xf>
    <xf numFmtId="177" fontId="26" fillId="0" borderId="1" xfId="0" applyNumberFormat="1" applyFont="1" applyBorder="1" applyProtection="1">
      <protection locked="0"/>
    </xf>
    <xf numFmtId="177" fontId="26" fillId="0" borderId="23" xfId="0" applyNumberFormat="1" applyFont="1" applyBorder="1" applyProtection="1">
      <protection locked="0"/>
    </xf>
    <xf numFmtId="177" fontId="21" fillId="0" borderId="6" xfId="0" applyNumberFormat="1" applyFont="1" applyFill="1" applyBorder="1" applyAlignment="1" applyProtection="1">
      <alignment horizontal="center"/>
      <protection locked="0"/>
    </xf>
    <xf numFmtId="177" fontId="21" fillId="0" borderId="1" xfId="0" applyNumberFormat="1" applyFont="1" applyFill="1" applyBorder="1" applyAlignment="1" applyProtection="1">
      <alignment horizontal="center"/>
      <protection locked="0"/>
    </xf>
    <xf numFmtId="177" fontId="18" fillId="0" borderId="1" xfId="0" applyNumberFormat="1" applyFont="1" applyFill="1" applyBorder="1" applyAlignment="1" applyProtection="1">
      <alignment horizontal="center"/>
      <protection locked="0"/>
    </xf>
    <xf numFmtId="177" fontId="2" fillId="0" borderId="1" xfId="0" applyNumberFormat="1" applyFont="1" applyFill="1" applyBorder="1" applyAlignment="1" applyProtection="1">
      <alignment horizontal="center"/>
      <protection locked="0"/>
    </xf>
    <xf numFmtId="177" fontId="20" fillId="0" borderId="1" xfId="0" applyNumberFormat="1" applyFont="1" applyFill="1" applyBorder="1" applyAlignment="1" applyProtection="1">
      <alignment horizontal="center"/>
      <protection locked="0"/>
    </xf>
    <xf numFmtId="177" fontId="19" fillId="0" borderId="1" xfId="0" applyNumberFormat="1" applyFont="1" applyFill="1" applyBorder="1" applyAlignment="1" applyProtection="1">
      <alignment horizontal="center"/>
      <protection locked="0"/>
    </xf>
    <xf numFmtId="177" fontId="17" fillId="0" borderId="1" xfId="0" applyNumberFormat="1" applyFont="1" applyFill="1" applyBorder="1" applyAlignment="1" applyProtection="1">
      <alignment horizontal="center"/>
      <protection locked="0"/>
    </xf>
    <xf numFmtId="177" fontId="17" fillId="0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6" fontId="0" fillId="0" borderId="0" xfId="0" applyNumberFormat="1" applyAlignment="1" applyProtection="1">
      <alignment horizontal="center"/>
      <protection locked="0"/>
    </xf>
    <xf numFmtId="177" fontId="0" fillId="0" borderId="0" xfId="0" applyNumberFormat="1" applyProtection="1">
      <protection locked="0"/>
    </xf>
    <xf numFmtId="176" fontId="0" fillId="0" borderId="1" xfId="0" applyNumberFormat="1" applyBorder="1" applyAlignment="1" applyProtection="1">
      <alignment horizontal="center" vertical="center"/>
    </xf>
    <xf numFmtId="178" fontId="0" fillId="0" borderId="2" xfId="0" applyNumberForma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quotePrefix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8" borderId="1" xfId="0" quotePrefix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</xf>
    <xf numFmtId="178" fontId="23" fillId="0" borderId="1" xfId="0" applyNumberFormat="1" applyFont="1" applyBorder="1" applyAlignment="1" applyProtection="1">
      <alignment horizontal="center" vertical="center"/>
    </xf>
    <xf numFmtId="178" fontId="24" fillId="0" borderId="1" xfId="0" applyNumberFormat="1" applyFont="1" applyBorder="1" applyAlignment="1" applyProtection="1">
      <alignment horizontal="center" vertical="center"/>
    </xf>
    <xf numFmtId="178" fontId="26" fillId="0" borderId="1" xfId="0" applyNumberFormat="1" applyFont="1" applyBorder="1" applyAlignment="1" applyProtection="1">
      <alignment horizontal="center" vertical="center"/>
    </xf>
    <xf numFmtId="178" fontId="25" fillId="0" borderId="1" xfId="0" applyNumberFormat="1" applyFont="1" applyBorder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wrapText="1"/>
    </xf>
    <xf numFmtId="178" fontId="0" fillId="0" borderId="27" xfId="0" applyNumberFormat="1" applyBorder="1" applyAlignment="1" applyProtection="1">
      <alignment horizontal="center" vertical="center"/>
    </xf>
    <xf numFmtId="0" fontId="0" fillId="8" borderId="1" xfId="0" applyFont="1" applyFill="1" applyBorder="1" applyAlignment="1" applyProtection="1">
      <alignment horizontal="center" vertical="center" wrapText="1"/>
    </xf>
    <xf numFmtId="0" fontId="0" fillId="8" borderId="23" xfId="0" applyFont="1" applyFill="1" applyBorder="1" applyAlignment="1" applyProtection="1">
      <alignment horizontal="center" vertical="center" wrapText="1"/>
    </xf>
    <xf numFmtId="178" fontId="25" fillId="0" borderId="1" xfId="0" applyNumberFormat="1" applyFont="1" applyBorder="1" applyAlignment="1" applyProtection="1">
      <alignment horizontal="center" vertical="center"/>
    </xf>
    <xf numFmtId="178" fontId="22" fillId="0" borderId="1" xfId="0" applyNumberFormat="1" applyFont="1" applyBorder="1" applyAlignment="1" applyProtection="1">
      <alignment horizontal="center" vertical="center"/>
    </xf>
    <xf numFmtId="178" fontId="23" fillId="0" borderId="1" xfId="0" applyNumberFormat="1" applyFont="1" applyBorder="1" applyAlignment="1" applyProtection="1">
      <alignment horizontal="center" vertical="center"/>
    </xf>
    <xf numFmtId="178" fontId="24" fillId="0" borderId="1" xfId="0" applyNumberFormat="1" applyFont="1" applyBorder="1" applyAlignment="1" applyProtection="1">
      <alignment horizontal="center" vertical="center"/>
    </xf>
    <xf numFmtId="178" fontId="26" fillId="0" borderId="1" xfId="0" applyNumberFormat="1" applyFont="1" applyBorder="1" applyAlignment="1" applyProtection="1">
      <alignment horizontal="center" vertical="center"/>
    </xf>
    <xf numFmtId="178" fontId="22" fillId="0" borderId="2" xfId="0" applyNumberFormat="1" applyFont="1" applyBorder="1" applyAlignment="1" applyProtection="1">
      <alignment horizontal="center" vertical="center"/>
    </xf>
    <xf numFmtId="178" fontId="23" fillId="0" borderId="2" xfId="0" applyNumberFormat="1" applyFont="1" applyBorder="1" applyAlignment="1" applyProtection="1">
      <alignment horizontal="center" vertical="center"/>
    </xf>
    <xf numFmtId="178" fontId="24" fillId="0" borderId="2" xfId="0" applyNumberFormat="1" applyFont="1" applyBorder="1" applyAlignment="1" applyProtection="1">
      <alignment horizontal="center" vertical="center"/>
    </xf>
    <xf numFmtId="178" fontId="26" fillId="0" borderId="2" xfId="0" applyNumberFormat="1" applyFont="1" applyBorder="1" applyAlignment="1" applyProtection="1">
      <alignment horizontal="center" vertical="center"/>
    </xf>
    <xf numFmtId="178" fontId="25" fillId="0" borderId="2" xfId="0" applyNumberFormat="1" applyFont="1" applyBorder="1" applyAlignment="1" applyProtection="1">
      <alignment horizontal="center" vertical="center"/>
    </xf>
    <xf numFmtId="176" fontId="2" fillId="3" borderId="1" xfId="0" applyNumberFormat="1" applyFont="1" applyFill="1" applyBorder="1" applyAlignment="1" applyProtection="1">
      <alignment horizontal="center" vertical="center" wrapText="1"/>
    </xf>
    <xf numFmtId="0" fontId="32" fillId="0" borderId="28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  <xf numFmtId="176" fontId="4" fillId="6" borderId="11" xfId="0" applyNumberFormat="1" applyFont="1" applyFill="1" applyBorder="1" applyAlignment="1">
      <alignment horizontal="center" vertical="center" wrapText="1"/>
    </xf>
    <xf numFmtId="176" fontId="4" fillId="5" borderId="4" xfId="0" applyNumberFormat="1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178" fontId="22" fillId="0" borderId="1" xfId="0" applyNumberFormat="1" applyFont="1" applyBorder="1" applyAlignment="1">
      <alignment horizontal="center"/>
    </xf>
    <xf numFmtId="178" fontId="23" fillId="0" borderId="1" xfId="0" applyNumberFormat="1" applyFont="1" applyBorder="1" applyAlignment="1">
      <alignment horizontal="center"/>
    </xf>
    <xf numFmtId="0" fontId="11" fillId="0" borderId="36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1" fillId="0" borderId="0" xfId="0" applyFont="1"/>
    <xf numFmtId="1" fontId="34" fillId="0" borderId="36" xfId="0" applyNumberFormat="1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wrapText="1"/>
    </xf>
    <xf numFmtId="178" fontId="22" fillId="5" borderId="1" xfId="0" applyNumberFormat="1" applyFont="1" applyFill="1" applyBorder="1" applyAlignment="1" applyProtection="1">
      <alignment horizontal="center" vertical="center"/>
    </xf>
    <xf numFmtId="178" fontId="23" fillId="5" borderId="1" xfId="0" applyNumberFormat="1" applyFont="1" applyFill="1" applyBorder="1" applyAlignment="1" applyProtection="1">
      <alignment horizontal="center" vertical="center"/>
    </xf>
    <xf numFmtId="178" fontId="24" fillId="5" borderId="1" xfId="0" applyNumberFormat="1" applyFont="1" applyFill="1" applyBorder="1" applyAlignment="1" applyProtection="1">
      <alignment horizontal="center" vertical="center"/>
    </xf>
    <xf numFmtId="178" fontId="26" fillId="5" borderId="1" xfId="0" applyNumberFormat="1" applyFont="1" applyFill="1" applyBorder="1" applyAlignment="1" applyProtection="1">
      <alignment horizontal="center" vertical="center"/>
    </xf>
    <xf numFmtId="178" fontId="25" fillId="5" borderId="1" xfId="0" applyNumberFormat="1" applyFont="1" applyFill="1" applyBorder="1" applyAlignment="1" applyProtection="1">
      <alignment horizontal="center" vertical="center"/>
    </xf>
    <xf numFmtId="178" fontId="22" fillId="4" borderId="1" xfId="0" applyNumberFormat="1" applyFont="1" applyFill="1" applyBorder="1" applyAlignment="1" applyProtection="1">
      <alignment horizontal="center" vertical="center"/>
    </xf>
    <xf numFmtId="178" fontId="23" fillId="4" borderId="1" xfId="0" applyNumberFormat="1" applyFont="1" applyFill="1" applyBorder="1" applyAlignment="1" applyProtection="1">
      <alignment horizontal="center" vertical="center"/>
    </xf>
    <xf numFmtId="178" fontId="24" fillId="4" borderId="1" xfId="0" applyNumberFormat="1" applyFont="1" applyFill="1" applyBorder="1" applyAlignment="1" applyProtection="1">
      <alignment horizontal="center" vertical="center"/>
    </xf>
    <xf numFmtId="178" fontId="26" fillId="4" borderId="1" xfId="0" applyNumberFormat="1" applyFont="1" applyFill="1" applyBorder="1" applyAlignment="1" applyProtection="1">
      <alignment horizontal="center" vertical="center"/>
    </xf>
    <xf numFmtId="178" fontId="25" fillId="4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177" fontId="34" fillId="0" borderId="1" xfId="0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 shrinkToFit="1"/>
    </xf>
    <xf numFmtId="0" fontId="32" fillId="0" borderId="28" xfId="0" applyFont="1" applyBorder="1" applyAlignment="1" applyProtection="1">
      <alignment horizontal="left" vertical="center"/>
      <protection locked="0"/>
    </xf>
    <xf numFmtId="0" fontId="32" fillId="0" borderId="28" xfId="0" applyFont="1" applyBorder="1" applyAlignment="1" applyProtection="1">
      <alignment horizontal="right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41" fontId="37" fillId="11" borderId="1" xfId="0" applyNumberFormat="1" applyFont="1" applyFill="1" applyBorder="1" applyAlignment="1" applyProtection="1">
      <alignment vertical="center"/>
    </xf>
    <xf numFmtId="0" fontId="37" fillId="12" borderId="1" xfId="0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41" fontId="37" fillId="0" borderId="1" xfId="0" applyNumberFormat="1" applyFont="1" applyFill="1" applyBorder="1" applyAlignment="1" applyProtection="1">
      <alignment vertical="center"/>
    </xf>
    <xf numFmtId="41" fontId="37" fillId="0" borderId="23" xfId="0" applyNumberFormat="1" applyFont="1" applyFill="1" applyBorder="1" applyAlignment="1" applyProtection="1">
      <alignment vertical="center"/>
    </xf>
    <xf numFmtId="41" fontId="37" fillId="0" borderId="2" xfId="0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41" fontId="0" fillId="0" borderId="0" xfId="0" applyNumberFormat="1"/>
    <xf numFmtId="0" fontId="41" fillId="0" borderId="28" xfId="0" applyFont="1" applyBorder="1" applyAlignment="1" applyProtection="1">
      <alignment vertical="center"/>
      <protection locked="0"/>
    </xf>
    <xf numFmtId="0" fontId="39" fillId="0" borderId="23" xfId="0" applyFont="1" applyFill="1" applyBorder="1" applyAlignment="1" applyProtection="1">
      <alignment horizontal="center" vertical="center" wrapText="1"/>
      <protection locked="0"/>
    </xf>
    <xf numFmtId="0" fontId="40" fillId="0" borderId="23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Fill="1" applyBorder="1" applyAlignment="1" applyProtection="1">
      <alignment horizontal="center" vertical="center" wrapText="1"/>
      <protection locked="0"/>
    </xf>
    <xf numFmtId="0" fontId="40" fillId="0" borderId="6" xfId="0" applyFont="1" applyFill="1" applyBorder="1" applyAlignment="1" applyProtection="1">
      <alignment horizontal="center" vertical="center" wrapText="1"/>
      <protection locked="0"/>
    </xf>
    <xf numFmtId="0" fontId="40" fillId="0" borderId="6" xfId="0" applyFont="1" applyFill="1" applyBorder="1" applyAlignment="1" applyProtection="1">
      <alignment horizontal="center" vertical="center"/>
      <protection locked="0"/>
    </xf>
    <xf numFmtId="41" fontId="40" fillId="0" borderId="1" xfId="0" applyNumberFormat="1" applyFont="1" applyFill="1" applyBorder="1" applyAlignment="1" applyProtection="1">
      <alignment vertical="center"/>
    </xf>
    <xf numFmtId="41" fontId="40" fillId="0" borderId="23" xfId="0" applyNumberFormat="1" applyFont="1" applyFill="1" applyBorder="1" applyAlignment="1" applyProtection="1">
      <alignment vertical="center"/>
    </xf>
    <xf numFmtId="41" fontId="40" fillId="0" borderId="2" xfId="0" applyNumberFormat="1" applyFont="1" applyFill="1" applyBorder="1" applyAlignment="1" applyProtection="1">
      <alignment vertical="center"/>
    </xf>
    <xf numFmtId="41" fontId="40" fillId="11" borderId="1" xfId="0" applyNumberFormat="1" applyFont="1" applyFill="1" applyBorder="1" applyAlignment="1" applyProtection="1">
      <alignment vertical="center"/>
    </xf>
    <xf numFmtId="0" fontId="11" fillId="4" borderId="0" xfId="0" applyFont="1" applyFill="1"/>
    <xf numFmtId="0" fontId="12" fillId="4" borderId="36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177" fontId="34" fillId="0" borderId="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Fill="1" applyBorder="1" applyAlignment="1">
      <alignment horizontal="center" vertical="center" wrapText="1"/>
    </xf>
    <xf numFmtId="1" fontId="34" fillId="4" borderId="38" xfId="0" applyNumberFormat="1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1" fillId="0" borderId="0" xfId="1" applyProtection="1">
      <protection locked="0"/>
    </xf>
    <xf numFmtId="41" fontId="9" fillId="4" borderId="23" xfId="1" applyNumberFormat="1" applyFont="1" applyFill="1" applyBorder="1" applyAlignment="1" applyProtection="1">
      <alignment horizontal="center" wrapText="1"/>
      <protection locked="0" hidden="1"/>
    </xf>
    <xf numFmtId="180" fontId="12" fillId="4" borderId="1" xfId="3" applyNumberFormat="1" applyFont="1" applyFill="1" applyBorder="1" applyAlignment="1" applyProtection="1">
      <alignment horizontal="center" vertical="center"/>
      <protection locked="0"/>
    </xf>
    <xf numFmtId="180" fontId="48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1" applyFont="1" applyFill="1" applyBorder="1" applyAlignment="1" applyProtection="1">
      <alignment horizontal="center" vertical="top" wrapText="1"/>
      <protection locked="0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48" xfId="1" applyNumberFormat="1" applyFont="1" applyFill="1" applyBorder="1" applyAlignment="1" applyProtection="1">
      <alignment horizontal="center" vertical="center"/>
      <protection locked="0"/>
    </xf>
    <xf numFmtId="178" fontId="52" fillId="12" borderId="49" xfId="1" applyNumberFormat="1" applyFont="1" applyFill="1" applyBorder="1" applyAlignment="1" applyProtection="1">
      <alignment horizontal="center" vertical="center"/>
      <protection locked="0"/>
    </xf>
    <xf numFmtId="178" fontId="50" fillId="4" borderId="50" xfId="1" applyNumberFormat="1" applyFont="1" applyFill="1" applyBorder="1" applyAlignment="1" applyProtection="1">
      <alignment vertical="center"/>
    </xf>
    <xf numFmtId="178" fontId="50" fillId="4" borderId="49" xfId="1" applyNumberFormat="1" applyFont="1" applyFill="1" applyBorder="1" applyAlignment="1" applyProtection="1">
      <alignment vertical="center"/>
    </xf>
    <xf numFmtId="179" fontId="50" fillId="4" borderId="49" xfId="1" applyNumberFormat="1" applyFont="1" applyFill="1" applyBorder="1" applyAlignment="1" applyProtection="1">
      <alignment horizontal="center" vertical="center"/>
    </xf>
    <xf numFmtId="177" fontId="50" fillId="0" borderId="49" xfId="1" applyNumberFormat="1" applyFont="1" applyFill="1" applyBorder="1" applyAlignment="1" applyProtection="1">
      <alignment horizontal="center" vertical="center"/>
    </xf>
    <xf numFmtId="177" fontId="50" fillId="4" borderId="49" xfId="1" applyNumberFormat="1" applyFont="1" applyFill="1" applyBorder="1" applyAlignment="1" applyProtection="1">
      <alignment horizontal="center" vertical="center"/>
    </xf>
    <xf numFmtId="177" fontId="50" fillId="4" borderId="51" xfId="1" applyNumberFormat="1" applyFont="1" applyFill="1" applyBorder="1" applyAlignment="1" applyProtection="1">
      <alignment horizontal="right" vertical="center"/>
    </xf>
    <xf numFmtId="179" fontId="45" fillId="0" borderId="0" xfId="2" applyNumberFormat="1" applyFont="1" applyFill="1" applyAlignment="1" applyProtection="1">
      <alignment horizontal="center" vertical="center"/>
      <protection locked="0"/>
    </xf>
    <xf numFmtId="180" fontId="45" fillId="0" borderId="0" xfId="3" applyNumberFormat="1" applyFont="1" applyFill="1" applyAlignment="1" applyProtection="1">
      <alignment horizontal="right" vertical="center"/>
      <protection locked="0"/>
    </xf>
    <xf numFmtId="0" fontId="12" fillId="0" borderId="0" xfId="1" applyFont="1" applyProtection="1">
      <protection locked="0"/>
    </xf>
    <xf numFmtId="0" fontId="11" fillId="0" borderId="0" xfId="1" applyFill="1" applyProtection="1">
      <protection locked="0"/>
    </xf>
    <xf numFmtId="0" fontId="58" fillId="0" borderId="0" xfId="1" applyFont="1" applyFill="1" applyProtection="1">
      <protection locked="0"/>
    </xf>
    <xf numFmtId="0" fontId="57" fillId="13" borderId="23" xfId="1" applyFont="1" applyFill="1" applyBorder="1" applyAlignment="1" applyProtection="1">
      <alignment horizontal="center" vertical="center" wrapText="1"/>
      <protection locked="0"/>
    </xf>
    <xf numFmtId="0" fontId="51" fillId="13" borderId="23" xfId="1" applyFont="1" applyFill="1" applyBorder="1" applyAlignment="1" applyProtection="1">
      <alignment horizontal="center" vertical="center" wrapText="1"/>
      <protection locked="0"/>
    </xf>
    <xf numFmtId="0" fontId="59" fillId="0" borderId="1" xfId="1" applyFont="1" applyBorder="1" applyAlignment="1" applyProtection="1">
      <alignment horizontal="center" vertical="center" wrapText="1"/>
      <protection locked="0"/>
    </xf>
    <xf numFmtId="0" fontId="0" fillId="0" borderId="1" xfId="1" applyFont="1" applyBorder="1" applyAlignment="1" applyProtection="1">
      <alignment horizontal="center" vertical="center" wrapText="1"/>
      <protection locked="0"/>
    </xf>
    <xf numFmtId="0" fontId="60" fillId="0" borderId="1" xfId="1" applyFont="1" applyBorder="1" applyAlignment="1" applyProtection="1">
      <alignment horizontal="center" vertical="center" wrapText="1"/>
      <protection locked="0"/>
    </xf>
    <xf numFmtId="0" fontId="45" fillId="0" borderId="1" xfId="1" applyFont="1" applyBorder="1" applyAlignment="1" applyProtection="1">
      <alignment horizontal="center" vertical="center" wrapText="1"/>
      <protection locked="0"/>
    </xf>
    <xf numFmtId="0" fontId="45" fillId="0" borderId="1" xfId="1" applyFont="1" applyBorder="1" applyAlignment="1" applyProtection="1">
      <alignment vertical="center" wrapText="1"/>
      <protection locked="0"/>
    </xf>
    <xf numFmtId="0" fontId="45" fillId="0" borderId="1" xfId="1" applyFont="1" applyBorder="1" applyAlignment="1" applyProtection="1">
      <alignment horizontal="right" vertical="center" wrapText="1"/>
      <protection locked="0"/>
    </xf>
    <xf numFmtId="0" fontId="61" fillId="0" borderId="0" xfId="1" applyFont="1" applyProtection="1">
      <protection locked="0"/>
    </xf>
    <xf numFmtId="0" fontId="45" fillId="0" borderId="1" xfId="1" applyFont="1" applyBorder="1" applyAlignment="1" applyProtection="1">
      <alignment horizontal="center"/>
      <protection locked="0"/>
    </xf>
    <xf numFmtId="0" fontId="45" fillId="0" borderId="1" xfId="1" applyFont="1" applyBorder="1" applyProtection="1">
      <protection locked="0"/>
    </xf>
    <xf numFmtId="0" fontId="45" fillId="0" borderId="0" xfId="1" applyFont="1" applyProtection="1">
      <protection locked="0"/>
    </xf>
    <xf numFmtId="0" fontId="51" fillId="13" borderId="1" xfId="1" applyFont="1" applyFill="1" applyBorder="1" applyAlignment="1" applyProtection="1">
      <alignment horizontal="center" vertical="center" wrapText="1"/>
    </xf>
    <xf numFmtId="0" fontId="16" fillId="0" borderId="0" xfId="1" applyFont="1" applyFill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left"/>
      <protection locked="0"/>
    </xf>
    <xf numFmtId="0" fontId="54" fillId="0" borderId="0" xfId="1" applyFont="1" applyProtection="1">
      <protection locked="0"/>
    </xf>
    <xf numFmtId="0" fontId="62" fillId="0" borderId="0" xfId="1" applyFont="1" applyProtection="1">
      <protection locked="0"/>
    </xf>
    <xf numFmtId="0" fontId="63" fillId="0" borderId="0" xfId="4" applyFill="1" applyBorder="1" applyAlignment="1">
      <alignment horizontal="left" vertical="top"/>
    </xf>
    <xf numFmtId="0" fontId="63" fillId="0" borderId="0" xfId="4" applyFill="1" applyBorder="1" applyAlignment="1">
      <alignment vertical="top" wrapText="1"/>
    </xf>
    <xf numFmtId="0" fontId="12" fillId="0" borderId="36" xfId="4" applyFont="1" applyFill="1" applyBorder="1" applyAlignment="1">
      <alignment horizontal="center" vertical="center" wrapText="1"/>
    </xf>
    <xf numFmtId="1" fontId="64" fillId="0" borderId="36" xfId="4" applyNumberFormat="1" applyFont="1" applyFill="1" applyBorder="1" applyAlignment="1">
      <alignment horizontal="center" vertical="center" shrinkToFit="1"/>
    </xf>
    <xf numFmtId="0" fontId="50" fillId="0" borderId="36" xfId="4" applyFont="1" applyFill="1" applyBorder="1" applyAlignment="1">
      <alignment horizontal="center" vertical="center" wrapText="1"/>
    </xf>
    <xf numFmtId="1" fontId="64" fillId="0" borderId="56" xfId="4" applyNumberFormat="1" applyFont="1" applyFill="1" applyBorder="1" applyAlignment="1">
      <alignment horizontal="center" vertical="center" shrinkToFit="1"/>
    </xf>
    <xf numFmtId="0" fontId="12" fillId="0" borderId="56" xfId="4" applyFont="1" applyFill="1" applyBorder="1" applyAlignment="1">
      <alignment horizontal="center" vertical="center" wrapText="1"/>
    </xf>
    <xf numFmtId="0" fontId="50" fillId="0" borderId="56" xfId="4" applyFont="1" applyFill="1" applyBorder="1" applyAlignment="1">
      <alignment horizontal="center" vertical="center" wrapText="1"/>
    </xf>
    <xf numFmtId="0" fontId="48" fillId="0" borderId="55" xfId="4" applyFont="1" applyFill="1" applyBorder="1" applyAlignment="1">
      <alignment horizontal="center" vertical="center" wrapText="1"/>
    </xf>
    <xf numFmtId="0" fontId="48" fillId="0" borderId="36" xfId="4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0" fillId="0" borderId="6" xfId="0" quotePrefix="1" applyFont="1" applyFill="1" applyBorder="1" applyAlignment="1" applyProtection="1">
      <alignment horizontal="center" vertical="center" wrapText="1"/>
      <protection locked="0"/>
    </xf>
    <xf numFmtId="41" fontId="37" fillId="0" borderId="62" xfId="0" applyNumberFormat="1" applyFont="1" applyFill="1" applyBorder="1" applyAlignment="1" applyProtection="1">
      <alignment vertical="center"/>
    </xf>
    <xf numFmtId="178" fontId="33" fillId="0" borderId="4" xfId="0" applyNumberFormat="1" applyFont="1" applyFill="1" applyBorder="1" applyAlignment="1" applyProtection="1">
      <alignment horizontal="center" vertical="center"/>
    </xf>
    <xf numFmtId="178" fontId="33" fillId="0" borderId="12" xfId="0" applyNumberFormat="1" applyFont="1" applyFill="1" applyBorder="1" applyAlignment="1" applyProtection="1">
      <alignment horizontal="center" vertical="center"/>
    </xf>
    <xf numFmtId="0" fontId="67" fillId="0" borderId="0" xfId="0" applyFont="1" applyBorder="1" applyAlignment="1" applyProtection="1">
      <alignment horizontal="left" vertical="center"/>
    </xf>
    <xf numFmtId="0" fontId="0" fillId="0" borderId="0" xfId="0" applyProtection="1"/>
    <xf numFmtId="0" fontId="33" fillId="0" borderId="1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 applyProtection="1">
      <alignment vertical="center"/>
    </xf>
    <xf numFmtId="0" fontId="33" fillId="0" borderId="5" xfId="0" applyFont="1" applyFill="1" applyBorder="1" applyAlignment="1" applyProtection="1">
      <alignment vertical="center"/>
    </xf>
    <xf numFmtId="0" fontId="33" fillId="0" borderId="11" xfId="0" applyFont="1" applyFill="1" applyBorder="1" applyAlignment="1" applyProtection="1">
      <alignment horizontal="center" vertical="center"/>
    </xf>
    <xf numFmtId="0" fontId="33" fillId="0" borderId="4" xfId="0" applyFont="1" applyFill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61" xfId="0" applyFont="1" applyBorder="1" applyProtection="1"/>
    <xf numFmtId="0" fontId="12" fillId="0" borderId="57" xfId="0" applyFont="1" applyBorder="1" applyProtection="1"/>
    <xf numFmtId="0" fontId="73" fillId="0" borderId="7" xfId="0" applyFont="1" applyBorder="1" applyAlignment="1">
      <alignment horizontal="center" vertical="center"/>
    </xf>
    <xf numFmtId="0" fontId="74" fillId="0" borderId="34" xfId="0" applyFont="1" applyBorder="1" applyAlignment="1">
      <alignment horizontal="center" vertical="center"/>
    </xf>
    <xf numFmtId="0" fontId="74" fillId="0" borderId="30" xfId="0" applyFont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76" fillId="0" borderId="2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5" fillId="0" borderId="2" xfId="0" applyFont="1" applyBorder="1" applyAlignment="1">
      <alignment horizontal="center"/>
    </xf>
    <xf numFmtId="0" fontId="78" fillId="0" borderId="2" xfId="0" applyFont="1" applyBorder="1" applyAlignment="1">
      <alignment horizontal="center"/>
    </xf>
    <xf numFmtId="0" fontId="79" fillId="0" borderId="2" xfId="0" applyFont="1" applyBorder="1" applyAlignment="1">
      <alignment horizontal="center"/>
    </xf>
    <xf numFmtId="0" fontId="80" fillId="0" borderId="2" xfId="0" applyFont="1" applyBorder="1" applyAlignment="1">
      <alignment horizontal="center"/>
    </xf>
    <xf numFmtId="0" fontId="81" fillId="0" borderId="0" xfId="0" applyFont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1" fillId="0" borderId="28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178" fontId="33" fillId="0" borderId="16" xfId="0" applyNumberFormat="1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vertical="center"/>
    </xf>
    <xf numFmtId="0" fontId="33" fillId="0" borderId="6" xfId="0" applyFont="1" applyFill="1" applyBorder="1" applyAlignment="1" applyProtection="1">
      <alignment vertical="center"/>
    </xf>
    <xf numFmtId="0" fontId="37" fillId="0" borderId="2" xfId="0" applyFont="1" applyFill="1" applyBorder="1" applyAlignment="1" applyProtection="1">
      <alignment horizontal="center" vertical="center"/>
    </xf>
    <xf numFmtId="0" fontId="37" fillId="0" borderId="27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178" fontId="33" fillId="0" borderId="15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0" fontId="33" fillId="0" borderId="6" xfId="0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 applyProtection="1">
      <alignment horizontal="center" vertical="center"/>
    </xf>
    <xf numFmtId="0" fontId="33" fillId="0" borderId="27" xfId="0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 applyProtection="1">
      <alignment horizontal="center" vertical="center"/>
    </xf>
    <xf numFmtId="0" fontId="40" fillId="0" borderId="58" xfId="0" applyFont="1" applyFill="1" applyBorder="1" applyAlignment="1" applyProtection="1">
      <alignment horizontal="center" vertical="center" wrapText="1"/>
    </xf>
    <xf numFmtId="0" fontId="40" fillId="0" borderId="15" xfId="0" applyFont="1" applyFill="1" applyBorder="1" applyAlignment="1" applyProtection="1">
      <alignment horizontal="center" vertical="center" wrapText="1"/>
    </xf>
    <xf numFmtId="0" fontId="39" fillId="0" borderId="59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 applyProtection="1">
      <alignment horizontal="center" vertical="center" wrapText="1"/>
    </xf>
    <xf numFmtId="49" fontId="40" fillId="0" borderId="59" xfId="0" applyNumberFormat="1" applyFont="1" applyFill="1" applyBorder="1" applyAlignment="1" applyProtection="1">
      <alignment horizontal="center" vertical="center" wrapText="1"/>
    </xf>
    <xf numFmtId="49" fontId="40" fillId="0" borderId="1" xfId="0" applyNumberFormat="1" applyFont="1" applyFill="1" applyBorder="1" applyAlignment="1" applyProtection="1">
      <alignment horizontal="center" vertical="center" wrapText="1"/>
    </xf>
    <xf numFmtId="0" fontId="40" fillId="0" borderId="60" xfId="0" applyFont="1" applyFill="1" applyBorder="1" applyAlignment="1" applyProtection="1">
      <alignment horizontal="center" vertical="center" wrapText="1"/>
    </xf>
    <xf numFmtId="0" fontId="40" fillId="0" borderId="16" xfId="0" applyFont="1" applyFill="1" applyBorder="1" applyAlignment="1" applyProtection="1">
      <alignment horizontal="center" vertical="center" wrapText="1"/>
    </xf>
    <xf numFmtId="0" fontId="67" fillId="0" borderId="0" xfId="0" applyFont="1" applyBorder="1" applyAlignment="1" applyProtection="1">
      <alignment horizontal="center" vertical="center" wrapText="1"/>
    </xf>
    <xf numFmtId="0" fontId="67" fillId="0" borderId="57" xfId="0" applyFont="1" applyBorder="1" applyAlignment="1" applyProtection="1">
      <alignment horizontal="center" vertical="center" wrapText="1"/>
    </xf>
    <xf numFmtId="0" fontId="12" fillId="0" borderId="58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60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33" fillId="0" borderId="39" xfId="0" applyFont="1" applyFill="1" applyBorder="1" applyAlignment="1" applyProtection="1">
      <alignment horizontal="left" vertical="center" wrapText="1"/>
    </xf>
    <xf numFmtId="0" fontId="33" fillId="0" borderId="40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horizontal="right" vertical="center"/>
      <protection locked="0"/>
    </xf>
    <xf numFmtId="178" fontId="33" fillId="0" borderId="1" xfId="0" applyNumberFormat="1" applyFont="1" applyFill="1" applyBorder="1" applyAlignment="1" applyProtection="1">
      <alignment horizontal="right" vertical="center"/>
    </xf>
    <xf numFmtId="0" fontId="33" fillId="0" borderId="23" xfId="0" applyFont="1" applyFill="1" applyBorder="1" applyAlignment="1" applyProtection="1">
      <alignment vertical="center"/>
      <protection locked="0"/>
    </xf>
    <xf numFmtId="0" fontId="33" fillId="0" borderId="6" xfId="0" applyFont="1" applyFill="1" applyBorder="1" applyAlignment="1" applyProtection="1">
      <alignment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33" fillId="0" borderId="6" xfId="0" applyFont="1" applyFill="1" applyBorder="1" applyAlignment="1" applyProtection="1">
      <alignment horizontal="center" vertical="center"/>
      <protection locked="0"/>
    </xf>
    <xf numFmtId="178" fontId="38" fillId="12" borderId="1" xfId="0" applyNumberFormat="1" applyFont="1" applyFill="1" applyBorder="1" applyAlignment="1" applyProtection="1">
      <alignment horizontal="right" vertical="center"/>
      <protection locked="0"/>
    </xf>
    <xf numFmtId="0" fontId="37" fillId="12" borderId="2" xfId="0" applyFont="1" applyFill="1" applyBorder="1" applyAlignment="1" applyProtection="1">
      <alignment horizontal="center" vertical="center"/>
      <protection locked="0"/>
    </xf>
    <xf numFmtId="0" fontId="37" fillId="12" borderId="27" xfId="0" applyFont="1" applyFill="1" applyBorder="1" applyAlignment="1" applyProtection="1">
      <alignment horizontal="center" vertical="center"/>
      <protection locked="0"/>
    </xf>
    <xf numFmtId="178" fontId="33" fillId="0" borderId="23" xfId="0" applyNumberFormat="1" applyFont="1" applyFill="1" applyBorder="1" applyAlignment="1" applyProtection="1">
      <alignment vertical="center"/>
    </xf>
    <xf numFmtId="178" fontId="33" fillId="0" borderId="6" xfId="0" applyNumberFormat="1" applyFont="1" applyFill="1" applyBorder="1" applyAlignment="1" applyProtection="1">
      <alignment vertical="center"/>
    </xf>
    <xf numFmtId="178" fontId="33" fillId="0" borderId="23" xfId="0" applyNumberFormat="1" applyFont="1" applyFill="1" applyBorder="1" applyAlignment="1" applyProtection="1">
      <alignment horizontal="center" vertical="center"/>
    </xf>
    <xf numFmtId="178" fontId="33" fillId="0" borderId="7" xfId="0" applyNumberFormat="1" applyFont="1" applyFill="1" applyBorder="1" applyAlignment="1" applyProtection="1">
      <alignment horizontal="center" vertical="center"/>
    </xf>
    <xf numFmtId="0" fontId="33" fillId="0" borderId="30" xfId="0" applyFont="1" applyFill="1" applyBorder="1" applyAlignment="1" applyProtection="1">
      <alignment horizontal="center" vertical="center"/>
    </xf>
    <xf numFmtId="0" fontId="38" fillId="12" borderId="23" xfId="0" applyFont="1" applyFill="1" applyBorder="1" applyAlignment="1" applyProtection="1">
      <alignment horizontal="center" vertical="center"/>
      <protection locked="0"/>
    </xf>
    <xf numFmtId="0" fontId="38" fillId="12" borderId="6" xfId="0" applyFont="1" applyFill="1" applyBorder="1" applyAlignment="1" applyProtection="1">
      <alignment horizontal="center" vertical="center"/>
      <protection locked="0"/>
    </xf>
    <xf numFmtId="0" fontId="33" fillId="0" borderId="39" xfId="0" applyFont="1" applyFill="1" applyBorder="1" applyAlignment="1" applyProtection="1">
      <alignment horizontal="left" vertical="center" wrapText="1"/>
      <protection locked="0"/>
    </xf>
    <xf numFmtId="0" fontId="33" fillId="0" borderId="40" xfId="0" applyFont="1" applyFill="1" applyBorder="1" applyAlignment="1" applyProtection="1">
      <alignment horizontal="left" vertical="center"/>
      <protection locked="0"/>
    </xf>
    <xf numFmtId="0" fontId="33" fillId="0" borderId="2" xfId="0" applyFont="1" applyFill="1" applyBorder="1" applyAlignment="1" applyProtection="1">
      <alignment horizontal="center" vertical="center"/>
      <protection locked="0"/>
    </xf>
    <xf numFmtId="0" fontId="33" fillId="0" borderId="27" xfId="0" applyFont="1" applyFill="1" applyBorder="1" applyAlignment="1" applyProtection="1">
      <alignment horizontal="center" vertical="center"/>
      <protection locked="0"/>
    </xf>
    <xf numFmtId="0" fontId="33" fillId="0" borderId="5" xfId="0" applyFont="1" applyFill="1" applyBorder="1" applyAlignment="1" applyProtection="1">
      <alignment horizontal="center" vertical="center"/>
      <protection locked="0"/>
    </xf>
    <xf numFmtId="178" fontId="12" fillId="0" borderId="1" xfId="0" applyNumberFormat="1" applyFont="1" applyFill="1" applyBorder="1" applyAlignment="1" applyProtection="1">
      <alignment horizontal="right" vertical="center"/>
    </xf>
    <xf numFmtId="0" fontId="33" fillId="0" borderId="1" xfId="0" applyFont="1" applyFill="1" applyBorder="1" applyAlignment="1" applyProtection="1">
      <alignment horizontal="right" vertical="center"/>
    </xf>
    <xf numFmtId="0" fontId="37" fillId="12" borderId="1" xfId="0" applyFont="1" applyFill="1" applyBorder="1" applyAlignment="1" applyProtection="1">
      <alignment horizontal="center" vertical="center"/>
      <protection locked="0"/>
    </xf>
    <xf numFmtId="0" fontId="33" fillId="0" borderId="2" xfId="0" applyFont="1" applyFill="1" applyBorder="1" applyAlignment="1" applyProtection="1">
      <alignment horizontal="right" vertical="center"/>
      <protection locked="0"/>
    </xf>
    <xf numFmtId="0" fontId="33" fillId="0" borderId="5" xfId="0" applyFont="1" applyFill="1" applyBorder="1" applyAlignment="1" applyProtection="1">
      <alignment horizontal="right" vertical="center"/>
      <protection locked="0"/>
    </xf>
    <xf numFmtId="0" fontId="33" fillId="0" borderId="28" xfId="0" applyFont="1" applyFill="1" applyBorder="1" applyAlignment="1" applyProtection="1">
      <alignment horizontal="right" vertical="center"/>
      <protection locked="0"/>
    </xf>
    <xf numFmtId="0" fontId="33" fillId="0" borderId="27" xfId="0" applyFont="1" applyFill="1" applyBorder="1" applyAlignment="1" applyProtection="1">
      <alignment horizontal="right" vertical="center"/>
      <protection locked="0"/>
    </xf>
    <xf numFmtId="178" fontId="33" fillId="0" borderId="2" xfId="0" applyNumberFormat="1" applyFont="1" applyFill="1" applyBorder="1" applyAlignment="1" applyProtection="1">
      <alignment horizontal="right" vertical="center"/>
    </xf>
    <xf numFmtId="178" fontId="33" fillId="0" borderId="5" xfId="0" applyNumberFormat="1" applyFont="1" applyFill="1" applyBorder="1" applyAlignment="1" applyProtection="1">
      <alignment horizontal="right" vertical="center"/>
    </xf>
    <xf numFmtId="178" fontId="33" fillId="0" borderId="27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72" fillId="0" borderId="0" xfId="0" applyFont="1" applyAlignment="1">
      <alignment horizontal="center" vertical="center" textRotation="255"/>
    </xf>
    <xf numFmtId="178" fontId="12" fillId="0" borderId="0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 applyProtection="1">
      <alignment horizontal="center" vertical="center"/>
    </xf>
    <xf numFmtId="178" fontId="12" fillId="0" borderId="12" xfId="0" applyNumberFormat="1" applyFont="1" applyBorder="1" applyAlignment="1" applyProtection="1">
      <alignment horizontal="center" vertical="center"/>
    </xf>
    <xf numFmtId="0" fontId="69" fillId="0" borderId="0" xfId="0" applyFont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 vertical="center"/>
    </xf>
    <xf numFmtId="0" fontId="12" fillId="0" borderId="59" xfId="0" applyFont="1" applyFill="1" applyBorder="1" applyAlignment="1" applyProtection="1">
      <alignment horizontal="center" vertical="center"/>
    </xf>
    <xf numFmtId="178" fontId="12" fillId="0" borderId="59" xfId="0" applyNumberFormat="1" applyFont="1" applyFill="1" applyBorder="1" applyAlignment="1" applyProtection="1">
      <alignment horizontal="center" vertical="center"/>
    </xf>
    <xf numFmtId="178" fontId="12" fillId="0" borderId="60" xfId="0" applyNumberFormat="1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/>
    </xf>
    <xf numFmtId="178" fontId="12" fillId="0" borderId="16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78" fontId="12" fillId="0" borderId="1" xfId="0" applyNumberFormat="1" applyFont="1" applyBorder="1" applyAlignment="1" applyProtection="1">
      <alignment horizontal="center" vertical="center"/>
    </xf>
    <xf numFmtId="178" fontId="12" fillId="0" borderId="16" xfId="0" applyNumberFormat="1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shrinkToFit="1"/>
    </xf>
    <xf numFmtId="0" fontId="12" fillId="0" borderId="20" xfId="0" applyFont="1" applyBorder="1" applyAlignment="1" applyProtection="1">
      <alignment horizontal="center" shrinkToFit="1"/>
    </xf>
    <xf numFmtId="0" fontId="12" fillId="0" borderId="9" xfId="0" applyFont="1" applyBorder="1" applyAlignment="1" applyProtection="1">
      <alignment horizontal="center" shrinkToFit="1"/>
    </xf>
    <xf numFmtId="178" fontId="12" fillId="0" borderId="4" xfId="0" applyNumberFormat="1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178" fontId="12" fillId="0" borderId="2" xfId="0" applyNumberFormat="1" applyFont="1" applyBorder="1" applyAlignment="1" applyProtection="1">
      <alignment horizontal="center" vertical="center"/>
    </xf>
    <xf numFmtId="178" fontId="12" fillId="0" borderId="27" xfId="0" applyNumberFormat="1" applyFont="1" applyBorder="1" applyAlignment="1" applyProtection="1">
      <alignment horizontal="center" vertical="center"/>
    </xf>
    <xf numFmtId="0" fontId="46" fillId="0" borderId="42" xfId="1" applyFont="1" applyBorder="1" applyAlignment="1" applyProtection="1">
      <alignment horizontal="center" vertical="center"/>
      <protection locked="0"/>
    </xf>
    <xf numFmtId="0" fontId="47" fillId="4" borderId="43" xfId="1" applyFont="1" applyFill="1" applyBorder="1" applyAlignment="1" applyProtection="1">
      <alignment horizontal="center" vertical="center" wrapText="1"/>
      <protection locked="0"/>
    </xf>
    <xf numFmtId="0" fontId="47" fillId="4" borderId="44" xfId="1" applyFont="1" applyFill="1" applyBorder="1" applyAlignment="1" applyProtection="1">
      <alignment horizontal="center" vertical="center" wrapText="1"/>
      <protection locked="0"/>
    </xf>
    <xf numFmtId="0" fontId="48" fillId="4" borderId="44" xfId="1" applyFont="1" applyFill="1" applyBorder="1" applyAlignment="1" applyProtection="1">
      <alignment horizontal="center" vertical="center" wrapText="1"/>
      <protection locked="0"/>
    </xf>
    <xf numFmtId="179" fontId="48" fillId="4" borderId="44" xfId="2" applyNumberFormat="1" applyFont="1" applyFill="1" applyBorder="1" applyAlignment="1" applyProtection="1">
      <alignment horizontal="center" vertical="center" wrapText="1"/>
      <protection locked="0"/>
    </xf>
    <xf numFmtId="179" fontId="48" fillId="4" borderId="1" xfId="2" applyNumberFormat="1" applyFont="1" applyFill="1" applyBorder="1" applyAlignment="1" applyProtection="1">
      <alignment horizontal="center" vertical="center"/>
      <protection locked="0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180" fontId="50" fillId="4" borderId="44" xfId="3" applyNumberFormat="1" applyFont="1" applyFill="1" applyBorder="1" applyAlignment="1" applyProtection="1">
      <alignment horizontal="center" vertical="center" wrapText="1"/>
      <protection locked="0"/>
    </xf>
    <xf numFmtId="0" fontId="50" fillId="4" borderId="44" xfId="1" applyFont="1" applyFill="1" applyBorder="1" applyAlignment="1" applyProtection="1">
      <alignment horizontal="center" vertical="center" wrapText="1"/>
      <protection locked="0"/>
    </xf>
    <xf numFmtId="0" fontId="50" fillId="4" borderId="45" xfId="1" applyFont="1" applyFill="1" applyBorder="1" applyAlignment="1" applyProtection="1">
      <alignment horizontal="center" vertical="center" wrapText="1"/>
      <protection locked="0"/>
    </xf>
    <xf numFmtId="0" fontId="50" fillId="4" borderId="46" xfId="1" applyFont="1" applyFill="1" applyBorder="1" applyAlignment="1" applyProtection="1">
      <alignment horizontal="center" vertical="center"/>
      <protection locked="0"/>
    </xf>
    <xf numFmtId="180" fontId="50" fillId="4" borderId="1" xfId="3" applyNumberFormat="1" applyFont="1" applyFill="1" applyBorder="1" applyAlignment="1" applyProtection="1">
      <alignment horizontal="right" vertical="center"/>
      <protection locked="0"/>
    </xf>
    <xf numFmtId="0" fontId="50" fillId="4" borderId="1" xfId="1" applyFont="1" applyFill="1" applyBorder="1" applyAlignment="1" applyProtection="1">
      <alignment horizontal="right" vertical="center"/>
      <protection locked="0"/>
    </xf>
    <xf numFmtId="180" fontId="47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 applyProtection="1">
      <alignment horizontal="center" vertical="center"/>
      <protection locked="0"/>
    </xf>
    <xf numFmtId="41" fontId="9" fillId="4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180" fontId="48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57" fillId="13" borderId="1" xfId="1" applyFont="1" applyFill="1" applyBorder="1" applyAlignment="1" applyProtection="1">
      <alignment horizontal="right" vertical="center" wrapText="1"/>
    </xf>
    <xf numFmtId="180" fontId="48" fillId="4" borderId="47" xfId="3" applyNumberFormat="1" applyFont="1" applyFill="1" applyBorder="1" applyAlignment="1" applyProtection="1">
      <alignment horizontal="center" vertical="center" wrapText="1"/>
      <protection locked="0"/>
    </xf>
    <xf numFmtId="0" fontId="12" fillId="4" borderId="47" xfId="1" applyFont="1" applyFill="1" applyBorder="1" applyAlignment="1" applyProtection="1">
      <alignment horizontal="center" vertical="center" wrapText="1"/>
      <protection locked="0"/>
    </xf>
    <xf numFmtId="0" fontId="53" fillId="0" borderId="52" xfId="1" applyFont="1" applyFill="1" applyBorder="1" applyAlignment="1" applyProtection="1">
      <alignment horizontal="left" vertical="center"/>
      <protection locked="0"/>
    </xf>
    <xf numFmtId="0" fontId="54" fillId="0" borderId="52" xfId="1" applyFont="1" applyBorder="1" applyAlignment="1" applyProtection="1">
      <alignment horizontal="left" vertical="center"/>
      <protection locked="0"/>
    </xf>
    <xf numFmtId="0" fontId="55" fillId="0" borderId="28" xfId="1" applyFont="1" applyBorder="1" applyAlignment="1" applyProtection="1">
      <alignment horizontal="center" wrapText="1"/>
      <protection locked="0"/>
    </xf>
    <xf numFmtId="0" fontId="51" fillId="13" borderId="1" xfId="1" applyFont="1" applyFill="1" applyBorder="1" applyAlignment="1" applyProtection="1">
      <alignment horizontal="center" vertical="center" wrapText="1"/>
      <protection locked="0"/>
    </xf>
    <xf numFmtId="0" fontId="51" fillId="13" borderId="23" xfId="1" applyFont="1" applyFill="1" applyBorder="1" applyAlignment="1" applyProtection="1">
      <alignment horizontal="center" vertical="center" wrapText="1"/>
      <protection locked="0"/>
    </xf>
    <xf numFmtId="0" fontId="57" fillId="13" borderId="23" xfId="1" applyFont="1" applyFill="1" applyBorder="1" applyAlignment="1" applyProtection="1">
      <alignment horizontal="center" vertical="center" wrapText="1"/>
      <protection locked="0"/>
    </xf>
    <xf numFmtId="0" fontId="57" fillId="13" borderId="53" xfId="1" applyFont="1" applyFill="1" applyBorder="1" applyAlignment="1" applyProtection="1">
      <alignment horizontal="center" vertical="center" wrapText="1"/>
      <protection locked="0"/>
    </xf>
    <xf numFmtId="0" fontId="57" fillId="13" borderId="2" xfId="1" applyFont="1" applyFill="1" applyBorder="1" applyAlignment="1" applyProtection="1">
      <alignment horizontal="center" vertical="center" wrapText="1"/>
      <protection locked="0"/>
    </xf>
    <xf numFmtId="0" fontId="57" fillId="13" borderId="27" xfId="1" applyFont="1" applyFill="1" applyBorder="1" applyAlignment="1" applyProtection="1">
      <alignment horizontal="center" vertical="center" wrapText="1"/>
      <protection locked="0"/>
    </xf>
    <xf numFmtId="0" fontId="45" fillId="0" borderId="23" xfId="1" applyFont="1" applyBorder="1" applyAlignment="1" applyProtection="1">
      <alignment horizontal="center" vertical="center" wrapText="1"/>
      <protection locked="0"/>
    </xf>
    <xf numFmtId="0" fontId="12" fillId="0" borderId="1" xfId="4" applyFont="1" applyFill="1" applyBorder="1" applyAlignment="1">
      <alignment horizontal="center" vertical="center" wrapText="1"/>
    </xf>
    <xf numFmtId="0" fontId="64" fillId="0" borderId="1" xfId="4" applyFont="1" applyFill="1" applyBorder="1" applyAlignment="1">
      <alignment horizontal="center" vertical="center" wrapText="1"/>
    </xf>
    <xf numFmtId="0" fontId="65" fillId="0" borderId="0" xfId="4" applyFont="1" applyFill="1" applyBorder="1" applyAlignment="1">
      <alignment horizontal="center" vertical="center"/>
    </xf>
    <xf numFmtId="0" fontId="64" fillId="0" borderId="54" xfId="4" applyFont="1" applyFill="1" applyBorder="1" applyAlignment="1">
      <alignment horizontal="center" vertical="center" wrapText="1"/>
    </xf>
    <xf numFmtId="0" fontId="64" fillId="0" borderId="55" xfId="4" applyFont="1" applyFill="1" applyBorder="1" applyAlignment="1">
      <alignment horizontal="center" vertical="center" wrapText="1"/>
    </xf>
    <xf numFmtId="0" fontId="64" fillId="0" borderId="37" xfId="4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176" fontId="0" fillId="0" borderId="29" xfId="0" applyNumberFormat="1" applyBorder="1" applyAlignment="1" applyProtection="1">
      <alignment horizontal="center" vertical="center"/>
      <protection locked="0"/>
    </xf>
    <xf numFmtId="176" fontId="0" fillId="0" borderId="29" xfId="0" applyNumberFormat="1" applyBorder="1" applyAlignment="1" applyProtection="1">
      <alignment horizontal="center" wrapText="1"/>
      <protection locked="0"/>
    </xf>
    <xf numFmtId="0" fontId="0" fillId="0" borderId="29" xfId="0" applyBorder="1" applyAlignment="1">
      <alignment horizont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" fillId="4" borderId="23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76" fontId="0" fillId="0" borderId="23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</cellXfs>
  <cellStyles count="5">
    <cellStyle name="一般" xfId="0" builtinId="0"/>
    <cellStyle name="一般 2" xfId="4"/>
    <cellStyle name="一般 3" xfId="1"/>
    <cellStyle name="千分位 2" xfId="3"/>
    <cellStyle name="百分比 2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0-1&#31169;&#31435;&#23416;&#26657;&#21407;&#20303;&#27665;&#23416;&#29983;&#25945;&#31185;&#26360;&#35036;&#21161;&#25945;&#31185;&#26360;&#35036;&#21161;&#37329;&#38989;&#32113;&#35336;&#34920;-&#22283;&#20013;(&#31169;&#3143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工作表3"/>
      <sheetName val="抬頭"/>
      <sheetName val="A表及B表"/>
      <sheetName val="教科書單價表"/>
    </sheetNames>
    <sheetDataSet>
      <sheetData sheetId="0">
        <row r="1">
          <cell r="D1" t="str">
            <v>學校名稱</v>
          </cell>
        </row>
      </sheetData>
      <sheetData sheetId="1">
        <row r="5">
          <cell r="A5" t="str">
            <v>康軒</v>
          </cell>
        </row>
        <row r="6">
          <cell r="A6" t="str">
            <v>翰林</v>
          </cell>
        </row>
        <row r="7">
          <cell r="A7" t="str">
            <v>佳音</v>
          </cell>
        </row>
        <row r="8">
          <cell r="A8" t="str">
            <v>南一</v>
          </cell>
        </row>
        <row r="9">
          <cell r="A9" t="str">
            <v>全華</v>
          </cell>
        </row>
        <row r="10">
          <cell r="A10" t="str">
            <v>奇鼎</v>
          </cell>
        </row>
        <row r="11">
          <cell r="A11" t="str">
            <v>無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1"/>
  <sheetViews>
    <sheetView tabSelected="1" zoomScale="90" zoomScaleNormal="90" workbookViewId="0">
      <pane xSplit="1" ySplit="3" topLeftCell="B14" activePane="bottomRight" state="frozen"/>
      <selection pane="topRight" activeCell="B1" sqref="B1"/>
      <selection pane="bottomLeft" activeCell="A4" sqref="A4"/>
      <selection pane="bottomRight" activeCell="W30" sqref="W30"/>
    </sheetView>
  </sheetViews>
  <sheetFormatPr defaultRowHeight="13.8"/>
  <cols>
    <col min="1" max="1" width="9.25" style="220" customWidth="1"/>
    <col min="2" max="18" width="6.75" style="220" customWidth="1"/>
    <col min="19" max="21" width="9.25" style="220" customWidth="1"/>
    <col min="22" max="22" width="10.875" style="220" customWidth="1"/>
    <col min="23" max="23" width="15.875" style="220" customWidth="1"/>
    <col min="24" max="24" width="9" hidden="1" customWidth="1"/>
    <col min="25" max="25" width="4.125" hidden="1" customWidth="1"/>
    <col min="26" max="27" width="8.375" hidden="1" customWidth="1"/>
    <col min="28" max="28" width="11.75" hidden="1" customWidth="1"/>
    <col min="29" max="29" width="9.875" hidden="1" customWidth="1"/>
    <col min="30" max="30" width="0" hidden="1" customWidth="1"/>
    <col min="31" max="47" width="6.625" hidden="1" customWidth="1"/>
    <col min="48" max="48" width="10.25" hidden="1" customWidth="1"/>
    <col min="49" max="49" width="12.25" hidden="1" customWidth="1"/>
    <col min="50" max="50" width="12.75" hidden="1" customWidth="1"/>
    <col min="51" max="51" width="10.5" hidden="1" customWidth="1"/>
  </cols>
  <sheetData>
    <row r="1" spans="1:51" ht="23.2" thickBot="1">
      <c r="B1" s="218"/>
      <c r="D1" s="264"/>
      <c r="E1" s="253" t="s">
        <v>208</v>
      </c>
      <c r="F1" s="358" t="s">
        <v>318</v>
      </c>
      <c r="G1" s="358"/>
      <c r="H1" s="358"/>
      <c r="I1" s="358"/>
      <c r="J1" s="358"/>
      <c r="K1" s="252" t="s">
        <v>221</v>
      </c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424" t="s">
        <v>316</v>
      </c>
      <c r="AD1" s="334" t="s">
        <v>291</v>
      </c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</row>
    <row r="2" spans="1:51" ht="36.950000000000003" customHeight="1">
      <c r="A2" s="407" t="s">
        <v>227</v>
      </c>
      <c r="B2" s="409" t="s">
        <v>151</v>
      </c>
      <c r="C2" s="410"/>
      <c r="D2" s="409" t="s">
        <v>152</v>
      </c>
      <c r="E2" s="410"/>
      <c r="F2" s="409" t="s">
        <v>153</v>
      </c>
      <c r="G2" s="410"/>
      <c r="H2" s="409" t="s">
        <v>154</v>
      </c>
      <c r="I2" s="410"/>
      <c r="J2" s="409" t="s">
        <v>155</v>
      </c>
      <c r="K2" s="410"/>
      <c r="L2" s="258" t="s">
        <v>156</v>
      </c>
      <c r="M2" s="258" t="s">
        <v>157</v>
      </c>
      <c r="N2" s="258" t="s">
        <v>158</v>
      </c>
      <c r="O2" s="409" t="s">
        <v>159</v>
      </c>
      <c r="P2" s="411"/>
      <c r="Q2" s="411"/>
      <c r="R2" s="410"/>
      <c r="S2" s="266" t="s">
        <v>160</v>
      </c>
      <c r="T2" s="266" t="s">
        <v>226</v>
      </c>
      <c r="U2" s="265" t="s">
        <v>161</v>
      </c>
      <c r="V2" s="266" t="s">
        <v>230</v>
      </c>
      <c r="W2" s="266" t="s">
        <v>228</v>
      </c>
      <c r="X2" s="424"/>
      <c r="AD2" s="389" t="s">
        <v>227</v>
      </c>
      <c r="AE2" s="370" t="s">
        <v>151</v>
      </c>
      <c r="AF2" s="371"/>
      <c r="AG2" s="370" t="s">
        <v>152</v>
      </c>
      <c r="AH2" s="371"/>
      <c r="AI2" s="370" t="s">
        <v>153</v>
      </c>
      <c r="AJ2" s="371"/>
      <c r="AK2" s="370" t="s">
        <v>154</v>
      </c>
      <c r="AL2" s="371"/>
      <c r="AM2" s="370" t="s">
        <v>155</v>
      </c>
      <c r="AN2" s="371"/>
      <c r="AO2" s="336" t="s">
        <v>156</v>
      </c>
      <c r="AP2" s="336" t="s">
        <v>157</v>
      </c>
      <c r="AQ2" s="336" t="s">
        <v>158</v>
      </c>
      <c r="AR2" s="370" t="s">
        <v>159</v>
      </c>
      <c r="AS2" s="372"/>
      <c r="AT2" s="372"/>
      <c r="AU2" s="372"/>
      <c r="AV2" s="373" t="s">
        <v>308</v>
      </c>
      <c r="AW2" s="375" t="s">
        <v>309</v>
      </c>
      <c r="AX2" s="377" t="s">
        <v>310</v>
      </c>
      <c r="AY2" s="379" t="s">
        <v>311</v>
      </c>
    </row>
    <row r="3" spans="1:51" ht="17.100000000000001" customHeight="1">
      <c r="A3" s="408"/>
      <c r="B3" s="255" t="s">
        <v>162</v>
      </c>
      <c r="C3" s="255" t="s">
        <v>163</v>
      </c>
      <c r="D3" s="255" t="s">
        <v>162</v>
      </c>
      <c r="E3" s="255" t="s">
        <v>164</v>
      </c>
      <c r="F3" s="255" t="s">
        <v>165</v>
      </c>
      <c r="G3" s="255" t="s">
        <v>166</v>
      </c>
      <c r="H3" s="255" t="s">
        <v>162</v>
      </c>
      <c r="I3" s="255" t="s">
        <v>163</v>
      </c>
      <c r="J3" s="255" t="s">
        <v>167</v>
      </c>
      <c r="K3" s="255" t="s">
        <v>163</v>
      </c>
      <c r="L3" s="255" t="s">
        <v>162</v>
      </c>
      <c r="M3" s="255" t="s">
        <v>168</v>
      </c>
      <c r="N3" s="255" t="s">
        <v>167</v>
      </c>
      <c r="O3" s="255" t="s">
        <v>222</v>
      </c>
      <c r="P3" s="255" t="s">
        <v>223</v>
      </c>
      <c r="Q3" s="255" t="s">
        <v>224</v>
      </c>
      <c r="R3" s="255" t="s">
        <v>225</v>
      </c>
      <c r="S3" s="268" t="s">
        <v>302</v>
      </c>
      <c r="T3" s="269" t="s">
        <v>303</v>
      </c>
      <c r="U3" s="269" t="s">
        <v>304</v>
      </c>
      <c r="V3" s="267" t="s">
        <v>305</v>
      </c>
      <c r="W3" s="330" t="s">
        <v>306</v>
      </c>
      <c r="X3" s="424"/>
      <c r="Z3" t="s">
        <v>214</v>
      </c>
      <c r="AA3" t="s">
        <v>215</v>
      </c>
      <c r="AB3" s="262" t="s">
        <v>216</v>
      </c>
      <c r="AC3" s="262" t="s">
        <v>217</v>
      </c>
      <c r="AD3" s="390"/>
      <c r="AE3" s="337" t="s">
        <v>162</v>
      </c>
      <c r="AF3" s="337" t="s">
        <v>163</v>
      </c>
      <c r="AG3" s="337" t="s">
        <v>162</v>
      </c>
      <c r="AH3" s="337" t="s">
        <v>163</v>
      </c>
      <c r="AI3" s="337" t="s">
        <v>162</v>
      </c>
      <c r="AJ3" s="337" t="s">
        <v>163</v>
      </c>
      <c r="AK3" s="337" t="s">
        <v>162</v>
      </c>
      <c r="AL3" s="337" t="s">
        <v>163</v>
      </c>
      <c r="AM3" s="337" t="s">
        <v>162</v>
      </c>
      <c r="AN3" s="337" t="s">
        <v>163</v>
      </c>
      <c r="AO3" s="337" t="s">
        <v>162</v>
      </c>
      <c r="AP3" s="337" t="s">
        <v>162</v>
      </c>
      <c r="AQ3" s="337" t="s">
        <v>162</v>
      </c>
      <c r="AR3" s="337" t="s">
        <v>222</v>
      </c>
      <c r="AS3" s="337" t="s">
        <v>223</v>
      </c>
      <c r="AT3" s="337" t="s">
        <v>224</v>
      </c>
      <c r="AU3" s="338" t="s">
        <v>225</v>
      </c>
      <c r="AV3" s="374"/>
      <c r="AW3" s="376"/>
      <c r="AX3" s="378"/>
      <c r="AY3" s="380"/>
    </row>
    <row r="4" spans="1:51" ht="24.9" customHeight="1">
      <c r="A4" s="393" t="s">
        <v>169</v>
      </c>
      <c r="B4" s="398" t="s">
        <v>206</v>
      </c>
      <c r="C4" s="399"/>
      <c r="D4" s="398" t="s">
        <v>289</v>
      </c>
      <c r="E4" s="399"/>
      <c r="F4" s="398" t="s">
        <v>289</v>
      </c>
      <c r="G4" s="399"/>
      <c r="H4" s="398" t="s">
        <v>206</v>
      </c>
      <c r="I4" s="399"/>
      <c r="J4" s="398" t="s">
        <v>206</v>
      </c>
      <c r="K4" s="399"/>
      <c r="L4" s="257" t="s">
        <v>206</v>
      </c>
      <c r="M4" s="257" t="s">
        <v>206</v>
      </c>
      <c r="N4" s="257" t="s">
        <v>206</v>
      </c>
      <c r="O4" s="414" t="s">
        <v>206</v>
      </c>
      <c r="P4" s="414"/>
      <c r="Q4" s="414" t="s">
        <v>206</v>
      </c>
      <c r="R4" s="414"/>
      <c r="S4" s="402">
        <f>SUM(B5:R5)</f>
        <v>0</v>
      </c>
      <c r="T4" s="405"/>
      <c r="U4" s="405"/>
      <c r="V4" s="400">
        <f>T4-U4</f>
        <v>0</v>
      </c>
      <c r="W4" s="400">
        <f>S4*V4</f>
        <v>0</v>
      </c>
      <c r="X4" s="424"/>
      <c r="Y4" t="s">
        <v>218</v>
      </c>
      <c r="Z4" s="263">
        <f>SUM(B5:K5)</f>
        <v>0</v>
      </c>
      <c r="AA4" s="263">
        <f>SUM(L5:R5)</f>
        <v>0</v>
      </c>
      <c r="AB4" s="263">
        <f>Z4*$V$4</f>
        <v>0</v>
      </c>
      <c r="AC4" s="263">
        <f>AA4*$V$4</f>
        <v>0</v>
      </c>
      <c r="AD4" s="361" t="s">
        <v>169</v>
      </c>
      <c r="AE4" s="363" t="str">
        <f>B4</f>
        <v>無</v>
      </c>
      <c r="AF4" s="364"/>
      <c r="AG4" s="363" t="str">
        <f>D4</f>
        <v>無</v>
      </c>
      <c r="AH4" s="364"/>
      <c r="AI4" s="363" t="str">
        <f>F4</f>
        <v>無</v>
      </c>
      <c r="AJ4" s="364"/>
      <c r="AK4" s="363" t="str">
        <f>H4</f>
        <v>無</v>
      </c>
      <c r="AL4" s="364"/>
      <c r="AM4" s="363" t="str">
        <f>J4</f>
        <v>無</v>
      </c>
      <c r="AN4" s="364"/>
      <c r="AO4" s="337" t="str">
        <f>L4</f>
        <v>無</v>
      </c>
      <c r="AP4" s="337" t="str">
        <f>M4</f>
        <v>無</v>
      </c>
      <c r="AQ4" s="337" t="str">
        <f>N4</f>
        <v>無</v>
      </c>
      <c r="AR4" s="365" t="str">
        <f>O4</f>
        <v>無</v>
      </c>
      <c r="AS4" s="365"/>
      <c r="AT4" s="365" t="str">
        <f>Q4</f>
        <v>無</v>
      </c>
      <c r="AU4" s="363"/>
      <c r="AV4" s="366">
        <f>SUM(AE5:AU5)</f>
        <v>0</v>
      </c>
      <c r="AW4" s="359">
        <f>AV4*U4</f>
        <v>0</v>
      </c>
      <c r="AX4" s="359">
        <f>AV4*V4</f>
        <v>0</v>
      </c>
      <c r="AY4" s="360">
        <f>AV4*T4</f>
        <v>0</v>
      </c>
    </row>
    <row r="5" spans="1:51" ht="24.9" customHeight="1">
      <c r="A5" s="394"/>
      <c r="B5" s="270">
        <f>VLOOKUP($B4,工作表3!$A$5:$AX$11,2,FALSE)</f>
        <v>0</v>
      </c>
      <c r="C5" s="270">
        <f>VLOOKUP($B4,工作表3!$A$5:$AX$11,3,FALSE)</f>
        <v>0</v>
      </c>
      <c r="D5" s="270">
        <f>VLOOKUP($D4,工作表3!$A$5:$AX$11,4,FALSE)</f>
        <v>0</v>
      </c>
      <c r="E5" s="270">
        <f>VLOOKUP($D4,工作表3!$A$5:$AX$11,5,FALSE)</f>
        <v>0</v>
      </c>
      <c r="F5" s="270">
        <f>VLOOKUP($F4,工作表3!$A$5:$AX$11,6,FALSE)</f>
        <v>0</v>
      </c>
      <c r="G5" s="270">
        <f>VLOOKUP($F4,工作表3!$A$5:$AX$11,7,FALSE)</f>
        <v>0</v>
      </c>
      <c r="H5" s="270">
        <f>VLOOKUP($H4,工作表3!$A$5:$AX$11,8,FALSE)</f>
        <v>0</v>
      </c>
      <c r="I5" s="270">
        <f>VLOOKUP($H4,工作表3!$A$5:$AX$11,9,FALSE)</f>
        <v>0</v>
      </c>
      <c r="J5" s="270">
        <f>VLOOKUP($J4,工作表3!$A$5:$AX$11,13,FALSE)</f>
        <v>0</v>
      </c>
      <c r="K5" s="270">
        <f>VLOOKUP($J4,工作表3!$A$5:$AX$11,14,FALSE)</f>
        <v>0</v>
      </c>
      <c r="L5" s="270">
        <f>VLOOKUP($L4,工作表3!$A$5:$AX$11,10,FALSE)</f>
        <v>0</v>
      </c>
      <c r="M5" s="270">
        <f>VLOOKUP($M4,工作表3!$A$5:$AX$11,11,FALSE)</f>
        <v>0</v>
      </c>
      <c r="N5" s="270">
        <f>VLOOKUP($N4,工作表3!$A$5:$AX$11,12,FALSE)</f>
        <v>0</v>
      </c>
      <c r="O5" s="270">
        <f>VLOOKUP($O4,工作表3!$A$5:$AX$11,15,FALSE)</f>
        <v>0</v>
      </c>
      <c r="P5" s="270">
        <f>VLOOKUP($O4,工作表3!$A$5:$AX$11,16,FALSE)</f>
        <v>0</v>
      </c>
      <c r="Q5" s="270">
        <f>VLOOKUP($Q4,工作表3!$A$5:$AX$11,17,FALSE)</f>
        <v>0</v>
      </c>
      <c r="R5" s="270">
        <f>VLOOKUP($Q4,工作表3!$A$5:$AX$11,18,FALSE)</f>
        <v>0</v>
      </c>
      <c r="S5" s="369">
        <f>SUM(B5:R5)</f>
        <v>0</v>
      </c>
      <c r="T5" s="406"/>
      <c r="U5" s="406"/>
      <c r="V5" s="401"/>
      <c r="W5" s="401"/>
      <c r="X5" s="424"/>
      <c r="Y5" t="s">
        <v>219</v>
      </c>
      <c r="Z5" s="263">
        <f>SUM(B7:K7)</f>
        <v>0</v>
      </c>
      <c r="AA5" s="263">
        <f>SUM(L7:R7)</f>
        <v>0</v>
      </c>
      <c r="AB5" s="263">
        <f>Z5*$V$6</f>
        <v>0</v>
      </c>
      <c r="AC5" s="263">
        <f>AA5*$V$6</f>
        <v>0</v>
      </c>
      <c r="AD5" s="362"/>
      <c r="AE5" s="259">
        <f>VLOOKUP($B4,工作表3!$A$5:$CU$11,51,FALSE)</f>
        <v>0</v>
      </c>
      <c r="AF5" s="259">
        <f>VLOOKUP($B4,工作表3!$A$5:$CU$11,52,FALSE)</f>
        <v>0</v>
      </c>
      <c r="AG5" s="259">
        <f>VLOOKUP($D4,工作表3!$A$5:$CU$11,53,FALSE)</f>
        <v>0</v>
      </c>
      <c r="AH5" s="259">
        <f>VLOOKUP($D4,工作表3!$A$5:$CU$11,54,FALSE)</f>
        <v>0</v>
      </c>
      <c r="AI5" s="259">
        <f>VLOOKUP($F4,工作表3!$A$5:$CU$11,55,FALSE)</f>
        <v>0</v>
      </c>
      <c r="AJ5" s="259">
        <f>VLOOKUP($F4,工作表3!$A$5:$CU$11,56,FALSE)</f>
        <v>0</v>
      </c>
      <c r="AK5" s="259">
        <f>VLOOKUP($H4,工作表3!$A$5:$CU$11,57,FALSE)</f>
        <v>0</v>
      </c>
      <c r="AL5" s="259">
        <f>VLOOKUP($H4,工作表3!$A$5:$CU$11,58,FALSE)</f>
        <v>0</v>
      </c>
      <c r="AM5" s="259">
        <f>VLOOKUP($J4,工作表3!$A$5:$CU$11,62,FALSE)</f>
        <v>0</v>
      </c>
      <c r="AN5" s="259">
        <f>VLOOKUP($J4,工作表3!$A$5:$CU$11,63,FALSE)</f>
        <v>0</v>
      </c>
      <c r="AO5" s="259">
        <f>VLOOKUP($L4,工作表3!$A$5:$CU$11,59,FALSE)</f>
        <v>0</v>
      </c>
      <c r="AP5" s="259">
        <f>VLOOKUP($M4,工作表3!$A$5:$CU$11,60,FALSE)</f>
        <v>0</v>
      </c>
      <c r="AQ5" s="259">
        <f>VLOOKUP($N4,工作表3!$A$5:$CU$11,61,FALSE)</f>
        <v>0</v>
      </c>
      <c r="AR5" s="259">
        <f>VLOOKUP($O4,工作表3!$A$5:$CU$11,64,FALSE)</f>
        <v>0</v>
      </c>
      <c r="AS5" s="259">
        <f>VLOOKUP($O4,工作表3!$A$5:$CU$11,65,FALSE)</f>
        <v>0</v>
      </c>
      <c r="AT5" s="259">
        <f>VLOOKUP($Q4,工作表3!$A$5:$CU$11,66,FALSE)</f>
        <v>0</v>
      </c>
      <c r="AU5" s="261">
        <f>VLOOKUP($Q4,工作表3!$A$5:$CU$11,67,FALSE)</f>
        <v>0</v>
      </c>
      <c r="AV5" s="367">
        <f>SUM(AE5:AU5)</f>
        <v>0</v>
      </c>
      <c r="AW5" s="359"/>
      <c r="AX5" s="359"/>
      <c r="AY5" s="360"/>
    </row>
    <row r="6" spans="1:51" ht="24.9" customHeight="1">
      <c r="A6" s="395" t="s">
        <v>170</v>
      </c>
      <c r="B6" s="398" t="s">
        <v>206</v>
      </c>
      <c r="C6" s="399"/>
      <c r="D6" s="398" t="s">
        <v>206</v>
      </c>
      <c r="E6" s="399"/>
      <c r="F6" s="398" t="s">
        <v>206</v>
      </c>
      <c r="G6" s="399"/>
      <c r="H6" s="398" t="s">
        <v>206</v>
      </c>
      <c r="I6" s="399"/>
      <c r="J6" s="398" t="s">
        <v>206</v>
      </c>
      <c r="K6" s="399"/>
      <c r="L6" s="257" t="s">
        <v>206</v>
      </c>
      <c r="M6" s="257" t="s">
        <v>206</v>
      </c>
      <c r="N6" s="257" t="s">
        <v>206</v>
      </c>
      <c r="O6" s="414" t="s">
        <v>206</v>
      </c>
      <c r="P6" s="414"/>
      <c r="Q6" s="414" t="s">
        <v>206</v>
      </c>
      <c r="R6" s="414"/>
      <c r="S6" s="402">
        <f>SUM(B7:R7)</f>
        <v>0</v>
      </c>
      <c r="T6" s="405"/>
      <c r="U6" s="405"/>
      <c r="V6" s="400">
        <f>T6-U6</f>
        <v>0</v>
      </c>
      <c r="W6" s="400">
        <f>S6*V6</f>
        <v>0</v>
      </c>
      <c r="X6" s="424"/>
      <c r="Y6" t="s">
        <v>220</v>
      </c>
      <c r="Z6" s="263">
        <f>SUM(B9:K9)</f>
        <v>0</v>
      </c>
      <c r="AA6" s="263">
        <f>SUM(L9:P9)</f>
        <v>0</v>
      </c>
      <c r="AB6" s="263">
        <f>Z6*$V$8</f>
        <v>0</v>
      </c>
      <c r="AC6" s="263">
        <f>AA6*$V$8</f>
        <v>0</v>
      </c>
      <c r="AD6" s="368" t="s">
        <v>170</v>
      </c>
      <c r="AE6" s="363" t="str">
        <f>B6</f>
        <v>無</v>
      </c>
      <c r="AF6" s="364"/>
      <c r="AG6" s="363" t="str">
        <f>D6</f>
        <v>無</v>
      </c>
      <c r="AH6" s="364"/>
      <c r="AI6" s="363" t="str">
        <f>F6</f>
        <v>無</v>
      </c>
      <c r="AJ6" s="364"/>
      <c r="AK6" s="363" t="str">
        <f>H6</f>
        <v>無</v>
      </c>
      <c r="AL6" s="364"/>
      <c r="AM6" s="363" t="str">
        <f>J6</f>
        <v>無</v>
      </c>
      <c r="AN6" s="364"/>
      <c r="AO6" s="337" t="str">
        <f>L6</f>
        <v>無</v>
      </c>
      <c r="AP6" s="337" t="str">
        <f>M6</f>
        <v>無</v>
      </c>
      <c r="AQ6" s="337" t="str">
        <f>N6</f>
        <v>無</v>
      </c>
      <c r="AR6" s="365" t="str">
        <f>O6</f>
        <v>無</v>
      </c>
      <c r="AS6" s="365"/>
      <c r="AT6" s="365" t="str">
        <f>Q6</f>
        <v>無</v>
      </c>
      <c r="AU6" s="363"/>
      <c r="AV6" s="366">
        <f>SUM(AE7:AU7)</f>
        <v>0</v>
      </c>
      <c r="AW6" s="359">
        <f>AV6*U6</f>
        <v>0</v>
      </c>
      <c r="AX6" s="359">
        <f>AV6*V6</f>
        <v>0</v>
      </c>
      <c r="AY6" s="360">
        <f>AX6*T6</f>
        <v>0</v>
      </c>
    </row>
    <row r="7" spans="1:51" ht="24.9" customHeight="1">
      <c r="A7" s="396"/>
      <c r="B7" s="270">
        <f>VLOOKUP($B6,工作表3!$A$5:$AX$11,19,FALSE)</f>
        <v>0</v>
      </c>
      <c r="C7" s="270">
        <f>VLOOKUP($B6,工作表3!$A$5:$AX$11,20,FALSE)</f>
        <v>0</v>
      </c>
      <c r="D7" s="270">
        <f>VLOOKUP($D6,工作表3!$A$5:$AX$11,21,FALSE)</f>
        <v>0</v>
      </c>
      <c r="E7" s="270">
        <f>VLOOKUP($D6,工作表3!$A$5:$AX$11,22,FALSE)</f>
        <v>0</v>
      </c>
      <c r="F7" s="270">
        <f>VLOOKUP($F6,工作表3!$A$5:$AX$11,23,FALSE)</f>
        <v>0</v>
      </c>
      <c r="G7" s="270">
        <f>VLOOKUP($F6,工作表3!$A$5:$AX$11,24,FALSE)</f>
        <v>0</v>
      </c>
      <c r="H7" s="270">
        <f>VLOOKUP($H6,工作表3!$A$5:$AX$11,25,FALSE)</f>
        <v>0</v>
      </c>
      <c r="I7" s="270">
        <f>VLOOKUP($H6,工作表3!$A$5:$AX$11,26,FALSE)</f>
        <v>0</v>
      </c>
      <c r="J7" s="270">
        <f>VLOOKUP($J6,工作表3!$A$5:$AX$11,30,FALSE)</f>
        <v>0</v>
      </c>
      <c r="K7" s="270">
        <f>VLOOKUP($J6,工作表3!$A$5:$AX$11,31,FALSE)</f>
        <v>0</v>
      </c>
      <c r="L7" s="270">
        <f>VLOOKUP($L6,工作表3!$A$5:$AX$11,27,FALSE)</f>
        <v>0</v>
      </c>
      <c r="M7" s="270">
        <f>VLOOKUP($M6,工作表3!$A$5:$AX$11,28,FALSE)</f>
        <v>0</v>
      </c>
      <c r="N7" s="270">
        <f>VLOOKUP($N6,工作表3!$A$5:$AX$11,29,FALSE)</f>
        <v>0</v>
      </c>
      <c r="O7" s="270">
        <f>VLOOKUP($O6,工作表3!$A$5:$AX$11,32,FALSE)</f>
        <v>0</v>
      </c>
      <c r="P7" s="270">
        <f>VLOOKUP($O6,工作表3!$A$5:$AX$11,33,FALSE)</f>
        <v>0</v>
      </c>
      <c r="Q7" s="271">
        <f>VLOOKUP($Q6,工作表3!$A$5:$AX$11,34,FALSE)</f>
        <v>0</v>
      </c>
      <c r="R7" s="271">
        <f>VLOOKUP($Q6,工作表3!$A$5:$AX$11,35,FALSE)</f>
        <v>0</v>
      </c>
      <c r="S7" s="369">
        <f>SUM(B7:R7)</f>
        <v>0</v>
      </c>
      <c r="T7" s="406"/>
      <c r="U7" s="406"/>
      <c r="V7" s="401"/>
      <c r="W7" s="401"/>
      <c r="X7" s="424"/>
      <c r="AB7" s="263">
        <f>SUM(AB4:AB6)</f>
        <v>0</v>
      </c>
      <c r="AC7" s="263">
        <f>SUM(AC4:AC6)</f>
        <v>0</v>
      </c>
      <c r="AD7" s="369"/>
      <c r="AE7" s="259">
        <f>VLOOKUP($B6,工作表3!$A$5:$CU$11,68,FALSE)</f>
        <v>0</v>
      </c>
      <c r="AF7" s="259">
        <f>VLOOKUP($B6,工作表3!$A$5:$CU$11,69,FALSE)</f>
        <v>0</v>
      </c>
      <c r="AG7" s="259">
        <f>VLOOKUP($D6,工作表3!$A$5:$CU$11,70,FALSE)</f>
        <v>0</v>
      </c>
      <c r="AH7" s="259">
        <f>VLOOKUP($D6,工作表3!$A$5:$CU$11,71,FALSE)</f>
        <v>0</v>
      </c>
      <c r="AI7" s="259">
        <f>VLOOKUP($F6,工作表3!$A$5:$CU$11,72,FALSE)</f>
        <v>0</v>
      </c>
      <c r="AJ7" s="259">
        <f>VLOOKUP($F6,工作表3!$A$5:$CU$11,73,FALSE)</f>
        <v>0</v>
      </c>
      <c r="AK7" s="259">
        <f>VLOOKUP($H6,工作表3!$A$5:$CU$11,74,FALSE)</f>
        <v>0</v>
      </c>
      <c r="AL7" s="259">
        <f>VLOOKUP($H6,工作表3!$A$5:$CU$11,75,FALSE)</f>
        <v>0</v>
      </c>
      <c r="AM7" s="259">
        <f>VLOOKUP($J6,工作表3!$A$5:$CU$11,79,FALSE)</f>
        <v>0</v>
      </c>
      <c r="AN7" s="259">
        <f>VLOOKUP($J6,工作表3!$A$5:$CU$11,80,FALSE)</f>
        <v>0</v>
      </c>
      <c r="AO7" s="259">
        <f>VLOOKUP($L6,工作表3!$A$5:$CU$11,76,FALSE)</f>
        <v>0</v>
      </c>
      <c r="AP7" s="259">
        <f>VLOOKUP($M6,工作表3!$A$5:$CU$11,77,FALSE)</f>
        <v>0</v>
      </c>
      <c r="AQ7" s="259">
        <f>VLOOKUP($N6,工作表3!$A$5:$CU$11,78,FALSE)</f>
        <v>0</v>
      </c>
      <c r="AR7" s="259">
        <f>VLOOKUP($O6,工作表3!$A$5:$CU$11,81,FALSE)</f>
        <v>0</v>
      </c>
      <c r="AS7" s="259">
        <f>VLOOKUP($O6,工作表3!$A$5:$CU$11,82,FALSE)</f>
        <v>0</v>
      </c>
      <c r="AT7" s="260">
        <f>VLOOKUP($Q6,工作表3!$A$5:$CU$11,83,FALSE)</f>
        <v>0</v>
      </c>
      <c r="AU7" s="331">
        <f>VLOOKUP($Q6,工作表3!$A$5:$CU$11,84,FALSE)</f>
        <v>0</v>
      </c>
      <c r="AV7" s="367">
        <f>SUM(AE7:AU7)</f>
        <v>0</v>
      </c>
      <c r="AW7" s="359"/>
      <c r="AX7" s="359"/>
      <c r="AY7" s="360"/>
    </row>
    <row r="8" spans="1:51" ht="24.9" customHeight="1">
      <c r="A8" s="393" t="s">
        <v>171</v>
      </c>
      <c r="B8" s="398" t="s">
        <v>206</v>
      </c>
      <c r="C8" s="399"/>
      <c r="D8" s="398" t="s">
        <v>206</v>
      </c>
      <c r="E8" s="399"/>
      <c r="F8" s="398" t="s">
        <v>206</v>
      </c>
      <c r="G8" s="399"/>
      <c r="H8" s="398" t="s">
        <v>206</v>
      </c>
      <c r="I8" s="399"/>
      <c r="J8" s="398" t="s">
        <v>206</v>
      </c>
      <c r="K8" s="399"/>
      <c r="L8" s="257" t="s">
        <v>206</v>
      </c>
      <c r="M8" s="257" t="s">
        <v>206</v>
      </c>
      <c r="N8" s="257" t="s">
        <v>206</v>
      </c>
      <c r="O8" s="414" t="s">
        <v>206</v>
      </c>
      <c r="P8" s="398"/>
      <c r="Q8" s="256">
        <v>0</v>
      </c>
      <c r="R8" s="256">
        <v>0</v>
      </c>
      <c r="S8" s="403">
        <f>SUM(B9:P9)</f>
        <v>0</v>
      </c>
      <c r="T8" s="405"/>
      <c r="U8" s="405"/>
      <c r="V8" s="400">
        <f>T8-U8</f>
        <v>0</v>
      </c>
      <c r="W8" s="400">
        <f>S8*V8</f>
        <v>0</v>
      </c>
      <c r="X8" s="424"/>
      <c r="AD8" s="361" t="s">
        <v>171</v>
      </c>
      <c r="AE8" s="363" t="str">
        <f>B8</f>
        <v>無</v>
      </c>
      <c r="AF8" s="364"/>
      <c r="AG8" s="363" t="str">
        <f>D8</f>
        <v>無</v>
      </c>
      <c r="AH8" s="364"/>
      <c r="AI8" s="363" t="str">
        <f>F8</f>
        <v>無</v>
      </c>
      <c r="AJ8" s="364"/>
      <c r="AK8" s="363" t="str">
        <f>H8</f>
        <v>無</v>
      </c>
      <c r="AL8" s="364"/>
      <c r="AM8" s="363" t="str">
        <f>J8</f>
        <v>無</v>
      </c>
      <c r="AN8" s="364"/>
      <c r="AO8" s="337" t="str">
        <f>L8</f>
        <v>無</v>
      </c>
      <c r="AP8" s="337" t="str">
        <f>M8</f>
        <v>無</v>
      </c>
      <c r="AQ8" s="337" t="str">
        <f>N8</f>
        <v>無</v>
      </c>
      <c r="AR8" s="365" t="str">
        <f>O8</f>
        <v>無</v>
      </c>
      <c r="AS8" s="363"/>
      <c r="AT8" s="259">
        <v>0</v>
      </c>
      <c r="AU8" s="261">
        <v>0</v>
      </c>
      <c r="AV8" s="366">
        <f>SUM(AE9:AS9)</f>
        <v>0</v>
      </c>
      <c r="AW8" s="359">
        <f>AV8*U8</f>
        <v>0</v>
      </c>
      <c r="AX8" s="359">
        <f>AV8*V8</f>
        <v>0</v>
      </c>
      <c r="AY8" s="360">
        <f>AX8*T8</f>
        <v>0</v>
      </c>
    </row>
    <row r="9" spans="1:51" ht="24.9" customHeight="1">
      <c r="A9" s="394"/>
      <c r="B9" s="270">
        <f>VLOOKUP($B8,工作表3!$A$5:$AX$11,36,FALSE)</f>
        <v>0</v>
      </c>
      <c r="C9" s="270">
        <f>VLOOKUP($B8,工作表3!$A$5:$AX$11,37,FALSE)</f>
        <v>0</v>
      </c>
      <c r="D9" s="270">
        <f>VLOOKUP($D8,工作表3!$A$5:$AX$11,38,FALSE)</f>
        <v>0</v>
      </c>
      <c r="E9" s="270">
        <f>VLOOKUP($D8,工作表3!$A$5:$AX$11,39,FALSE)</f>
        <v>0</v>
      </c>
      <c r="F9" s="270">
        <f>VLOOKUP($F8,工作表3!$A$5:$AX$11,40,FALSE)</f>
        <v>0</v>
      </c>
      <c r="G9" s="270">
        <f>VLOOKUP($F8,工作表3!$A$5:$AX$11,41,FALSE)</f>
        <v>0</v>
      </c>
      <c r="H9" s="270">
        <f>VLOOKUP($H8,工作表3!$A$5:$AX$11,42,FALSE)</f>
        <v>0</v>
      </c>
      <c r="I9" s="270">
        <f>VLOOKUP($H8,工作表3!$A$5:$AX$11,43,FALSE)</f>
        <v>0</v>
      </c>
      <c r="J9" s="270">
        <f>VLOOKUP($J8,工作表3!$A$5:$AX$11,47,FALSE)</f>
        <v>0</v>
      </c>
      <c r="K9" s="270">
        <f>VLOOKUP($J8,工作表3!$A$5:$AX$11,48,FALSE)</f>
        <v>0</v>
      </c>
      <c r="L9" s="270">
        <f>VLOOKUP($L8,工作表3!$A$5:$AX$11,44,FALSE)</f>
        <v>0</v>
      </c>
      <c r="M9" s="270">
        <f>VLOOKUP($M8,工作表3!$A$5:$AX$11,45,FALSE)</f>
        <v>0</v>
      </c>
      <c r="N9" s="270">
        <f>VLOOKUP($N8,工作表3!$A$5:$AX$11,46,FALSE)</f>
        <v>0</v>
      </c>
      <c r="O9" s="270">
        <f>VLOOKUP($O8,工作表3!$A$5:$AX$11,49,FALSE)</f>
        <v>0</v>
      </c>
      <c r="P9" s="272">
        <f>VLOOKUP($O8,工作表3!$A$5:$AX$11,50,FALSE)</f>
        <v>0</v>
      </c>
      <c r="Q9" s="273">
        <v>0</v>
      </c>
      <c r="R9" s="273">
        <v>0</v>
      </c>
      <c r="S9" s="404">
        <f>SUM(B9:R9)</f>
        <v>0</v>
      </c>
      <c r="T9" s="406"/>
      <c r="U9" s="406"/>
      <c r="V9" s="401"/>
      <c r="W9" s="401"/>
      <c r="X9" s="424"/>
      <c r="AD9" s="362"/>
      <c r="AE9" s="259">
        <f>VLOOKUP($B8,工作表3!$A$5:$CU$11,85,FALSE)</f>
        <v>0</v>
      </c>
      <c r="AF9" s="259">
        <f>VLOOKUP($B8,工作表3!$A$5:$CU$11,86,FALSE)</f>
        <v>0</v>
      </c>
      <c r="AG9" s="259">
        <f>VLOOKUP($D8,工作表3!$A$5:$CU$11,87,FALSE)</f>
        <v>0</v>
      </c>
      <c r="AH9" s="259">
        <f>VLOOKUP($D8,工作表3!$A$5:$CU$11,88,FALSE)</f>
        <v>0</v>
      </c>
      <c r="AI9" s="259">
        <f>VLOOKUP($F8,工作表3!$A$5:$CU$11,89,FALSE)</f>
        <v>0</v>
      </c>
      <c r="AJ9" s="259">
        <f>VLOOKUP($F8,工作表3!$A$5:$CU$11,90,FALSE)</f>
        <v>0</v>
      </c>
      <c r="AK9" s="259">
        <f>VLOOKUP($H8,工作表3!$A$5:$CU$11,91,FALSE)</f>
        <v>0</v>
      </c>
      <c r="AL9" s="259">
        <f>VLOOKUP($H8,工作表3!$A$5:$CU$11,92,FALSE)</f>
        <v>0</v>
      </c>
      <c r="AM9" s="259">
        <f>VLOOKUP($J8,工作表3!$A$5:$CU$11,96,FALSE)</f>
        <v>0</v>
      </c>
      <c r="AN9" s="259">
        <f>VLOOKUP($J8,工作表3!$A$5:$CU$11,97,FALSE)</f>
        <v>0</v>
      </c>
      <c r="AO9" s="259">
        <f>VLOOKUP($L8,工作表3!$A$5:$CU$11,93,FALSE)</f>
        <v>0</v>
      </c>
      <c r="AP9" s="259">
        <f>VLOOKUP($M8,工作表3!$A$5:$CU$11,94,FALSE)</f>
        <v>0</v>
      </c>
      <c r="AQ9" s="259">
        <f>VLOOKUP($N8,工作表3!$A$5:$CU$11,95,FALSE)</f>
        <v>0</v>
      </c>
      <c r="AR9" s="259">
        <f>VLOOKUP($O8,工作表3!$A$5:$CU$11,98,FALSE)</f>
        <v>0</v>
      </c>
      <c r="AS9" s="261">
        <f>VLOOKUP($O8,工作表3!$A$5:$CU$11,99,FALSE)</f>
        <v>0</v>
      </c>
      <c r="AT9" s="259">
        <v>0</v>
      </c>
      <c r="AU9" s="261">
        <v>0</v>
      </c>
      <c r="AV9" s="367">
        <f>SUM(AE9:AU9)</f>
        <v>0</v>
      </c>
      <c r="AW9" s="359"/>
      <c r="AX9" s="359"/>
      <c r="AY9" s="360"/>
    </row>
    <row r="10" spans="1:51" ht="24.9" customHeight="1" thickBot="1">
      <c r="A10" s="415" t="s">
        <v>172</v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7"/>
      <c r="R10" s="417"/>
      <c r="S10" s="416"/>
      <c r="T10" s="418"/>
      <c r="U10" s="419">
        <f>SUM(W4:W8)</f>
        <v>0</v>
      </c>
      <c r="V10" s="420"/>
      <c r="W10" s="421"/>
      <c r="X10" s="424"/>
      <c r="AD10" s="339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0"/>
      <c r="AP10" s="340"/>
      <c r="AQ10" s="340"/>
      <c r="AR10" s="340"/>
      <c r="AS10" s="340"/>
      <c r="AT10" s="340"/>
      <c r="AU10" s="340"/>
      <c r="AV10" s="341" t="s">
        <v>312</v>
      </c>
      <c r="AW10" s="342">
        <f>SUM(AW4:AW9)</f>
        <v>0</v>
      </c>
      <c r="AX10" s="332">
        <f>SUM(AX4:AX9)</f>
        <v>0</v>
      </c>
      <c r="AY10" s="333">
        <f>SUM(AY4:AY9)</f>
        <v>0</v>
      </c>
    </row>
    <row r="11" spans="1:51" ht="16.3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424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422" t="s">
        <v>319</v>
      </c>
      <c r="AX11" s="422" t="s">
        <v>320</v>
      </c>
      <c r="AY11" s="335"/>
    </row>
    <row r="12" spans="1:51" ht="24.9" customHeight="1" thickBot="1">
      <c r="A12" s="391" t="s">
        <v>212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7"/>
      <c r="P12" s="397"/>
      <c r="Q12" s="397"/>
      <c r="R12" s="397"/>
      <c r="S12" s="397"/>
      <c r="T12" s="397"/>
      <c r="U12" s="397"/>
      <c r="V12" s="397"/>
      <c r="W12" s="397"/>
      <c r="X12" s="424"/>
      <c r="AD12" s="381" t="s">
        <v>292</v>
      </c>
      <c r="AE12" s="381"/>
      <c r="AF12" s="381"/>
      <c r="AG12" s="381"/>
      <c r="AH12" s="381"/>
      <c r="AI12" s="381"/>
      <c r="AJ12" s="335"/>
      <c r="AK12" s="428" t="s">
        <v>298</v>
      </c>
      <c r="AL12" s="428"/>
      <c r="AM12" s="428"/>
      <c r="AN12" s="428"/>
      <c r="AO12" s="428"/>
      <c r="AP12" s="428"/>
      <c r="AQ12" s="428"/>
      <c r="AR12" s="335"/>
      <c r="AS12" s="335"/>
      <c r="AT12" s="335"/>
      <c r="AU12" s="335"/>
      <c r="AV12" s="335"/>
      <c r="AW12" s="423"/>
      <c r="AX12" s="423"/>
      <c r="AY12" s="335"/>
    </row>
    <row r="13" spans="1:51" ht="24.9" customHeight="1" thickBot="1">
      <c r="A13" s="413" t="s">
        <v>209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2">
        <f>AB7</f>
        <v>0</v>
      </c>
      <c r="P13" s="412"/>
      <c r="Q13" s="412"/>
      <c r="R13" s="412"/>
      <c r="S13" s="412"/>
      <c r="T13" s="412"/>
      <c r="U13" s="412"/>
      <c r="V13" s="412"/>
      <c r="W13" s="412"/>
      <c r="X13" s="424"/>
      <c r="AD13" s="382"/>
      <c r="AE13" s="382"/>
      <c r="AF13" s="382"/>
      <c r="AG13" s="382"/>
      <c r="AH13" s="382"/>
      <c r="AI13" s="382"/>
      <c r="AJ13" s="335"/>
      <c r="AK13" s="429" t="s">
        <v>299</v>
      </c>
      <c r="AL13" s="430"/>
      <c r="AM13" s="430"/>
      <c r="AN13" s="430"/>
      <c r="AO13" s="430"/>
      <c r="AP13" s="431">
        <f>O15</f>
        <v>0</v>
      </c>
      <c r="AQ13" s="431"/>
      <c r="AR13" s="432"/>
      <c r="AS13" s="335"/>
      <c r="AT13" s="335"/>
      <c r="AU13" s="335"/>
      <c r="AV13" s="335"/>
      <c r="AW13" s="335"/>
      <c r="AX13" s="335"/>
      <c r="AY13" s="335"/>
    </row>
    <row r="14" spans="1:51" ht="24.9" customHeight="1">
      <c r="A14" s="413" t="s">
        <v>213</v>
      </c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2">
        <f>AC7</f>
        <v>0</v>
      </c>
      <c r="P14" s="412"/>
      <c r="Q14" s="412"/>
      <c r="R14" s="412"/>
      <c r="S14" s="412"/>
      <c r="T14" s="412"/>
      <c r="U14" s="412"/>
      <c r="V14" s="412"/>
      <c r="W14" s="412"/>
      <c r="X14" s="424"/>
      <c r="AD14" s="383" t="s">
        <v>293</v>
      </c>
      <c r="AE14" s="385" t="s">
        <v>294</v>
      </c>
      <c r="AF14" s="385"/>
      <c r="AG14" s="385" t="s">
        <v>307</v>
      </c>
      <c r="AH14" s="385"/>
      <c r="AI14" s="387"/>
      <c r="AJ14" s="335"/>
      <c r="AK14" s="433" t="s">
        <v>300</v>
      </c>
      <c r="AL14" s="359"/>
      <c r="AM14" s="359"/>
      <c r="AN14" s="359"/>
      <c r="AO14" s="359"/>
      <c r="AP14" s="434">
        <f>AG19</f>
        <v>0</v>
      </c>
      <c r="AQ14" s="434"/>
      <c r="AR14" s="435"/>
      <c r="AS14" s="335"/>
      <c r="AT14" s="335"/>
      <c r="AU14" s="335"/>
      <c r="AV14" s="335"/>
      <c r="AW14" s="335"/>
      <c r="AX14" s="335"/>
      <c r="AY14" s="335"/>
    </row>
    <row r="15" spans="1:51" ht="24.9" customHeight="1">
      <c r="A15" s="391" t="s">
        <v>229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2">
        <f>U10+O12</f>
        <v>0</v>
      </c>
      <c r="P15" s="392"/>
      <c r="Q15" s="392"/>
      <c r="R15" s="392"/>
      <c r="S15" s="392"/>
      <c r="T15" s="392"/>
      <c r="U15" s="392"/>
      <c r="V15" s="392"/>
      <c r="W15" s="392"/>
      <c r="X15" s="424"/>
      <c r="AD15" s="384"/>
      <c r="AE15" s="386"/>
      <c r="AF15" s="386"/>
      <c r="AG15" s="386"/>
      <c r="AH15" s="386"/>
      <c r="AI15" s="388"/>
      <c r="AJ15" s="335"/>
      <c r="AK15" s="384" t="s">
        <v>301</v>
      </c>
      <c r="AL15" s="436"/>
      <c r="AM15" s="436"/>
      <c r="AN15" s="436"/>
      <c r="AO15" s="436"/>
      <c r="AP15" s="437">
        <f>AX10</f>
        <v>0</v>
      </c>
      <c r="AQ15" s="437"/>
      <c r="AR15" s="438"/>
      <c r="AS15" s="335"/>
      <c r="AT15" s="335"/>
      <c r="AU15" s="335"/>
      <c r="AV15" s="335"/>
      <c r="AW15" s="335"/>
      <c r="AX15" s="335"/>
      <c r="AY15" s="335"/>
    </row>
    <row r="16" spans="1:51" ht="16.899999999999999" thickBot="1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424"/>
      <c r="AD16" s="343" t="s">
        <v>295</v>
      </c>
      <c r="AE16" s="445">
        <f>S4</f>
        <v>0</v>
      </c>
      <c r="AF16" s="446"/>
      <c r="AG16" s="437">
        <f>S4*U4</f>
        <v>0</v>
      </c>
      <c r="AH16" s="437"/>
      <c r="AI16" s="438"/>
      <c r="AJ16" s="335"/>
      <c r="AK16" s="439" t="s">
        <v>321</v>
      </c>
      <c r="AL16" s="440"/>
      <c r="AM16" s="440"/>
      <c r="AN16" s="440"/>
      <c r="AO16" s="441"/>
      <c r="AP16" s="442">
        <f>SUM(AP13:AR15)</f>
        <v>0</v>
      </c>
      <c r="AQ16" s="443"/>
      <c r="AR16" s="444"/>
      <c r="AS16" s="335"/>
      <c r="AT16" s="335"/>
      <c r="AU16" s="335"/>
      <c r="AV16" s="335"/>
      <c r="AW16" s="335"/>
      <c r="AX16" s="335"/>
      <c r="AY16" s="335"/>
    </row>
    <row r="17" spans="1:51" ht="16.3">
      <c r="A17" s="219" t="s">
        <v>290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424"/>
      <c r="AD17" s="343" t="s">
        <v>296</v>
      </c>
      <c r="AE17" s="445">
        <f>S6</f>
        <v>0</v>
      </c>
      <c r="AF17" s="446"/>
      <c r="AG17" s="437">
        <f>S6*U6</f>
        <v>0</v>
      </c>
      <c r="AH17" s="437"/>
      <c r="AI17" s="438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</row>
    <row r="18" spans="1:51" ht="16.3">
      <c r="A18" s="219" t="s">
        <v>231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424"/>
      <c r="AD18" s="343" t="s">
        <v>297</v>
      </c>
      <c r="AE18" s="445">
        <f>S8</f>
        <v>0</v>
      </c>
      <c r="AF18" s="446"/>
      <c r="AG18" s="437">
        <f>S8*U8</f>
        <v>0</v>
      </c>
      <c r="AH18" s="437"/>
      <c r="AI18" s="438"/>
      <c r="AJ18" s="335"/>
      <c r="AK18" s="335"/>
      <c r="AL18" s="335"/>
      <c r="AM18" s="335"/>
      <c r="AN18" s="335"/>
      <c r="AO18" s="335"/>
      <c r="AP18" s="335"/>
      <c r="AQ18" s="335"/>
      <c r="AR18" s="335"/>
      <c r="AS18" s="335"/>
      <c r="AT18" s="335"/>
      <c r="AU18" s="335"/>
      <c r="AV18" s="335"/>
      <c r="AW18" s="335"/>
      <c r="AX18" s="335"/>
      <c r="AY18" s="335"/>
    </row>
    <row r="19" spans="1:51" ht="16.899999999999999" thickBot="1">
      <c r="A19" s="219" t="s">
        <v>323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424"/>
      <c r="AD19" s="344"/>
      <c r="AE19" s="345" t="s">
        <v>254</v>
      </c>
      <c r="AF19" s="345"/>
      <c r="AG19" s="426">
        <f>SUM(AG16:AI18)</f>
        <v>0</v>
      </c>
      <c r="AH19" s="426"/>
      <c r="AI19" s="427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</row>
    <row r="20" spans="1:51" ht="16.3">
      <c r="A20" s="219" t="s">
        <v>173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AD20" s="329"/>
      <c r="AE20" s="425"/>
      <c r="AF20" s="425"/>
      <c r="AG20" s="425"/>
      <c r="AH20" s="425"/>
      <c r="AI20" s="425"/>
    </row>
    <row r="21" spans="1:51" ht="16.3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AD21" s="329"/>
      <c r="AE21" s="425"/>
      <c r="AF21" s="425"/>
      <c r="AG21" s="425"/>
      <c r="AH21" s="425"/>
      <c r="AI21" s="425"/>
    </row>
    <row r="22" spans="1:51" ht="16.3">
      <c r="A22" s="219" t="s">
        <v>174</v>
      </c>
      <c r="B22" s="219"/>
      <c r="C22" s="219"/>
      <c r="D22" s="219"/>
      <c r="E22" s="219"/>
      <c r="F22" s="219" t="s">
        <v>175</v>
      </c>
      <c r="G22" s="219"/>
      <c r="I22" s="219"/>
      <c r="J22" s="219"/>
      <c r="M22" s="219" t="s">
        <v>176</v>
      </c>
      <c r="N22" s="219"/>
      <c r="R22" s="219"/>
      <c r="T22" s="219"/>
      <c r="U22" s="219" t="s">
        <v>177</v>
      </c>
      <c r="V22" s="219"/>
      <c r="W22" s="219"/>
    </row>
    <row r="23" spans="1:51" ht="16.3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</row>
    <row r="24" spans="1:51" ht="16.3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</row>
    <row r="25" spans="1:51" ht="16.3"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</row>
    <row r="27" spans="1:51" ht="16.3">
      <c r="A27" s="219"/>
    </row>
    <row r="29" spans="1:51" ht="22.55">
      <c r="A29" s="254" t="s">
        <v>232</v>
      </c>
    </row>
    <row r="30" spans="1:51" ht="22.55">
      <c r="A30" s="254" t="s">
        <v>324</v>
      </c>
    </row>
    <row r="31" spans="1:51" ht="22.55">
      <c r="A31" s="254" t="s">
        <v>233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9">
    <mergeCell ref="AW11:AW12"/>
    <mergeCell ref="AX11:AX12"/>
    <mergeCell ref="X1:X19"/>
    <mergeCell ref="AE21:AF21"/>
    <mergeCell ref="AG21:AI21"/>
    <mergeCell ref="AG19:AI19"/>
    <mergeCell ref="AK12:AQ12"/>
    <mergeCell ref="AK13:AO13"/>
    <mergeCell ref="AP13:AR13"/>
    <mergeCell ref="AK14:AO14"/>
    <mergeCell ref="AP14:AR14"/>
    <mergeCell ref="AK15:AO15"/>
    <mergeCell ref="AP15:AR15"/>
    <mergeCell ref="AK16:AO16"/>
    <mergeCell ref="AP16:AR16"/>
    <mergeCell ref="AE16:AF16"/>
    <mergeCell ref="AG16:AI16"/>
    <mergeCell ref="AE17:AF17"/>
    <mergeCell ref="AG17:AI17"/>
    <mergeCell ref="AE18:AF18"/>
    <mergeCell ref="AG18:AI18"/>
    <mergeCell ref="AE20:AF20"/>
    <mergeCell ref="AG20:AI20"/>
    <mergeCell ref="AD4:AD5"/>
    <mergeCell ref="U6:U7"/>
    <mergeCell ref="T8:T9"/>
    <mergeCell ref="U8:U9"/>
    <mergeCell ref="T4:T5"/>
    <mergeCell ref="O13:W13"/>
    <mergeCell ref="O14:W14"/>
    <mergeCell ref="A13:N13"/>
    <mergeCell ref="A12:N12"/>
    <mergeCell ref="O4:P4"/>
    <mergeCell ref="Q4:R4"/>
    <mergeCell ref="O6:P6"/>
    <mergeCell ref="Q6:R6"/>
    <mergeCell ref="O8:P8"/>
    <mergeCell ref="H6:I6"/>
    <mergeCell ref="H8:I8"/>
    <mergeCell ref="J6:K6"/>
    <mergeCell ref="J8:K8"/>
    <mergeCell ref="V4:V5"/>
    <mergeCell ref="V6:V7"/>
    <mergeCell ref="A10:T10"/>
    <mergeCell ref="U10:W10"/>
    <mergeCell ref="A14:N14"/>
    <mergeCell ref="B2:C2"/>
    <mergeCell ref="D2:E2"/>
    <mergeCell ref="F2:G2"/>
    <mergeCell ref="H2:I2"/>
    <mergeCell ref="J2:K2"/>
    <mergeCell ref="O2:R2"/>
    <mergeCell ref="B4:C4"/>
    <mergeCell ref="D4:E4"/>
    <mergeCell ref="F4:G4"/>
    <mergeCell ref="H4:I4"/>
    <mergeCell ref="J4:K4"/>
    <mergeCell ref="AG2:AH2"/>
    <mergeCell ref="AI2:AJ2"/>
    <mergeCell ref="A15:N15"/>
    <mergeCell ref="O15:W15"/>
    <mergeCell ref="A4:A5"/>
    <mergeCell ref="A6:A7"/>
    <mergeCell ref="A8:A9"/>
    <mergeCell ref="O12:W12"/>
    <mergeCell ref="B6:C6"/>
    <mergeCell ref="B8:C8"/>
    <mergeCell ref="D6:E6"/>
    <mergeCell ref="D8:E8"/>
    <mergeCell ref="F6:G6"/>
    <mergeCell ref="F8:G8"/>
    <mergeCell ref="V8:V9"/>
    <mergeCell ref="S4:S5"/>
    <mergeCell ref="S6:S7"/>
    <mergeCell ref="S8:S9"/>
    <mergeCell ref="W4:W5"/>
    <mergeCell ref="W6:W7"/>
    <mergeCell ref="W8:W9"/>
    <mergeCell ref="U4:U5"/>
    <mergeCell ref="T6:T7"/>
    <mergeCell ref="A2:A3"/>
    <mergeCell ref="AM2:AN2"/>
    <mergeCell ref="AR2:AU2"/>
    <mergeCell ref="AV2:AV3"/>
    <mergeCell ref="AW2:AW3"/>
    <mergeCell ref="AX2:AX3"/>
    <mergeCell ref="AY2:AY3"/>
    <mergeCell ref="AD12:AI13"/>
    <mergeCell ref="AD14:AD15"/>
    <mergeCell ref="AE14:AF15"/>
    <mergeCell ref="AG14:AI15"/>
    <mergeCell ref="AG6:AH6"/>
    <mergeCell ref="AI6:AJ6"/>
    <mergeCell ref="AK6:AL6"/>
    <mergeCell ref="AV4:AV5"/>
    <mergeCell ref="AW4:AW5"/>
    <mergeCell ref="AE4:AF4"/>
    <mergeCell ref="AG4:AH4"/>
    <mergeCell ref="AI4:AJ4"/>
    <mergeCell ref="AK4:AL4"/>
    <mergeCell ref="AM4:AN4"/>
    <mergeCell ref="AR4:AS4"/>
    <mergeCell ref="AT4:AU4"/>
    <mergeCell ref="AD2:AD3"/>
    <mergeCell ref="AE2:AF2"/>
    <mergeCell ref="F1:J1"/>
    <mergeCell ref="AX6:AX7"/>
    <mergeCell ref="AY6:AY7"/>
    <mergeCell ref="AD8:AD9"/>
    <mergeCell ref="AE8:AF8"/>
    <mergeCell ref="AG8:AH8"/>
    <mergeCell ref="AI8:AJ8"/>
    <mergeCell ref="AK8:AL8"/>
    <mergeCell ref="AM8:AN8"/>
    <mergeCell ref="AR8:AS8"/>
    <mergeCell ref="AV8:AV9"/>
    <mergeCell ref="AW8:AW9"/>
    <mergeCell ref="AX8:AX9"/>
    <mergeCell ref="AY8:AY9"/>
    <mergeCell ref="AM6:AN6"/>
    <mergeCell ref="AR6:AS6"/>
    <mergeCell ref="AT6:AU6"/>
    <mergeCell ref="AV6:AV7"/>
    <mergeCell ref="AW6:AW7"/>
    <mergeCell ref="AD6:AD7"/>
    <mergeCell ref="AE6:AF6"/>
    <mergeCell ref="AX4:AX5"/>
    <mergeCell ref="AY4:AY5"/>
    <mergeCell ref="AK2:AL2"/>
  </mergeCells>
  <phoneticPr fontId="8" type="noConversion"/>
  <dataValidations count="1">
    <dataValidation type="list" allowBlank="1" showInputMessage="1" showErrorMessage="1" sqref="B4:R4 B6:R6 B8:P8">
      <formula1>版本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zoomScale="90" zoomScaleNormal="90" workbookViewId="0">
      <pane ySplit="9" topLeftCell="A10" activePane="bottomLeft" state="frozen"/>
      <selection pane="bottomLeft" activeCell="S25" sqref="S25"/>
    </sheetView>
  </sheetViews>
  <sheetFormatPr defaultColWidth="10.125" defaultRowHeight="16.3"/>
  <cols>
    <col min="1" max="1" width="15" style="282" customWidth="1"/>
    <col min="2" max="2" width="10.625" style="282" customWidth="1"/>
    <col min="3" max="3" width="9.875" style="318" customWidth="1"/>
    <col min="4" max="5" width="9.125" style="282" customWidth="1"/>
    <col min="6" max="6" width="8.375" style="282" bestFit="1" customWidth="1"/>
    <col min="7" max="7" width="9.125" style="282" bestFit="1" customWidth="1"/>
    <col min="8" max="8" width="17.875" style="282" customWidth="1"/>
    <col min="9" max="9" width="12" style="282" customWidth="1"/>
    <col min="10" max="10" width="5.625" style="282" customWidth="1"/>
    <col min="11" max="11" width="5.5" style="282" customWidth="1"/>
    <col min="12" max="12" width="6.75" style="282" customWidth="1"/>
    <col min="13" max="13" width="14" style="282" customWidth="1"/>
    <col min="14" max="16384" width="10.125" style="282"/>
  </cols>
  <sheetData>
    <row r="1" spans="1:18" ht="23.2" thickBot="1">
      <c r="A1" s="447" t="s">
        <v>235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8" ht="34.6" customHeight="1" thickTop="1">
      <c r="A2" s="448" t="s">
        <v>236</v>
      </c>
      <c r="B2" s="449"/>
      <c r="C2" s="449"/>
      <c r="D2" s="449"/>
      <c r="E2" s="449"/>
      <c r="F2" s="450" t="s">
        <v>237</v>
      </c>
      <c r="G2" s="450"/>
      <c r="H2" s="450"/>
      <c r="I2" s="451" t="s">
        <v>238</v>
      </c>
      <c r="J2" s="454" t="s">
        <v>239</v>
      </c>
      <c r="K2" s="455"/>
      <c r="L2" s="455"/>
      <c r="M2" s="456"/>
    </row>
    <row r="3" spans="1:18" ht="28.5" customHeight="1">
      <c r="A3" s="457" t="s">
        <v>240</v>
      </c>
      <c r="B3" s="458" t="s">
        <v>241</v>
      </c>
      <c r="C3" s="460" t="s">
        <v>242</v>
      </c>
      <c r="D3" s="461"/>
      <c r="E3" s="461"/>
      <c r="F3" s="283" t="s">
        <v>243</v>
      </c>
      <c r="G3" s="283" t="s">
        <v>244</v>
      </c>
      <c r="H3" s="462" t="s">
        <v>245</v>
      </c>
      <c r="I3" s="452"/>
      <c r="J3" s="464" t="s">
        <v>246</v>
      </c>
      <c r="K3" s="453"/>
      <c r="L3" s="453"/>
      <c r="M3" s="466" t="s">
        <v>247</v>
      </c>
    </row>
    <row r="4" spans="1:18" ht="28.5" customHeight="1">
      <c r="A4" s="457"/>
      <c r="B4" s="459"/>
      <c r="C4" s="284" t="s">
        <v>249</v>
      </c>
      <c r="D4" s="284" t="s">
        <v>251</v>
      </c>
      <c r="E4" s="285" t="s">
        <v>252</v>
      </c>
      <c r="F4" s="286" t="s">
        <v>253</v>
      </c>
      <c r="G4" s="286" t="s">
        <v>253</v>
      </c>
      <c r="H4" s="463"/>
      <c r="I4" s="453"/>
      <c r="J4" s="287" t="s">
        <v>249</v>
      </c>
      <c r="K4" s="287" t="s">
        <v>251</v>
      </c>
      <c r="L4" s="288" t="s">
        <v>255</v>
      </c>
      <c r="M4" s="467"/>
    </row>
    <row r="5" spans="1:18" ht="36.799999999999997" customHeight="1" thickBot="1">
      <c r="A5" s="289" t="str">
        <f>統計表!F1</f>
        <v>○○國民中學</v>
      </c>
      <c r="B5" s="290" t="s">
        <v>256</v>
      </c>
      <c r="C5" s="290" t="s">
        <v>256</v>
      </c>
      <c r="D5" s="290" t="s">
        <v>256</v>
      </c>
      <c r="E5" s="291" t="e">
        <f>C5+D5</f>
        <v>#VALUE!</v>
      </c>
      <c r="F5" s="292">
        <f>F39</f>
        <v>1</v>
      </c>
      <c r="G5" s="292">
        <f>G39</f>
        <v>0</v>
      </c>
      <c r="H5" s="292">
        <f>F5+G5</f>
        <v>1</v>
      </c>
      <c r="I5" s="293" t="e">
        <f>H5/E5</f>
        <v>#VALUE!</v>
      </c>
      <c r="J5" s="294">
        <f>D39</f>
        <v>1</v>
      </c>
      <c r="K5" s="294">
        <f>E39</f>
        <v>0</v>
      </c>
      <c r="L5" s="295">
        <f>J5+K5</f>
        <v>1</v>
      </c>
      <c r="M5" s="296">
        <f>H39</f>
        <v>539</v>
      </c>
    </row>
    <row r="6" spans="1:18" ht="16.899999999999999" thickTop="1">
      <c r="A6" s="468" t="s">
        <v>257</v>
      </c>
      <c r="B6" s="469"/>
      <c r="C6" s="469"/>
      <c r="D6" s="469"/>
      <c r="E6" s="469"/>
      <c r="F6" s="469"/>
      <c r="G6" s="469"/>
      <c r="H6" s="469"/>
      <c r="I6" s="297"/>
      <c r="J6" s="297"/>
      <c r="K6" s="297"/>
      <c r="L6" s="298"/>
      <c r="M6" s="298"/>
    </row>
    <row r="7" spans="1:18" ht="26.95">
      <c r="A7" s="470" t="s">
        <v>258</v>
      </c>
      <c r="B7" s="470"/>
      <c r="C7" s="470"/>
      <c r="D7" s="470"/>
      <c r="E7" s="470"/>
      <c r="F7" s="470"/>
      <c r="G7" s="470"/>
      <c r="H7" s="470"/>
      <c r="I7" s="299"/>
      <c r="J7" s="299"/>
      <c r="K7" s="299"/>
      <c r="L7" s="299"/>
      <c r="M7" s="299"/>
    </row>
    <row r="8" spans="1:18" s="300" customFormat="1" ht="45.1" customHeight="1">
      <c r="A8" s="471" t="s">
        <v>259</v>
      </c>
      <c r="B8" s="473" t="s">
        <v>260</v>
      </c>
      <c r="C8" s="473" t="s">
        <v>261</v>
      </c>
      <c r="D8" s="475" t="s">
        <v>262</v>
      </c>
      <c r="E8" s="476"/>
      <c r="F8" s="471" t="s">
        <v>263</v>
      </c>
      <c r="G8" s="471"/>
      <c r="H8" s="471" t="s">
        <v>264</v>
      </c>
      <c r="R8" s="301"/>
    </row>
    <row r="9" spans="1:18">
      <c r="A9" s="472"/>
      <c r="B9" s="474"/>
      <c r="C9" s="474"/>
      <c r="D9" s="302" t="s">
        <v>248</v>
      </c>
      <c r="E9" s="302" t="s">
        <v>250</v>
      </c>
      <c r="F9" s="303" t="s">
        <v>265</v>
      </c>
      <c r="G9" s="303" t="s">
        <v>266</v>
      </c>
      <c r="H9" s="477"/>
    </row>
    <row r="10" spans="1:18">
      <c r="A10" s="304" t="s">
        <v>317</v>
      </c>
      <c r="B10" s="305" t="s">
        <v>267</v>
      </c>
      <c r="C10" s="306" t="s">
        <v>268</v>
      </c>
      <c r="D10" s="307">
        <v>1</v>
      </c>
      <c r="E10" s="307">
        <v>0</v>
      </c>
      <c r="F10" s="308">
        <v>1</v>
      </c>
      <c r="G10" s="308">
        <v>0</v>
      </c>
      <c r="H10" s="309">
        <v>539</v>
      </c>
      <c r="I10" s="310" t="s">
        <v>269</v>
      </c>
    </row>
    <row r="11" spans="1:18">
      <c r="A11" s="304"/>
      <c r="B11" s="311"/>
      <c r="C11" s="306"/>
      <c r="D11" s="311"/>
      <c r="E11" s="311"/>
      <c r="F11" s="312"/>
      <c r="G11" s="312"/>
      <c r="H11" s="309"/>
    </row>
    <row r="12" spans="1:18">
      <c r="A12" s="304"/>
      <c r="B12" s="311"/>
      <c r="C12" s="306"/>
      <c r="D12" s="311"/>
      <c r="E12" s="311"/>
      <c r="F12" s="312"/>
      <c r="G12" s="312"/>
      <c r="H12" s="309"/>
    </row>
    <row r="13" spans="1:18">
      <c r="A13" s="304"/>
      <c r="B13" s="311"/>
      <c r="C13" s="306"/>
      <c r="D13" s="311"/>
      <c r="E13" s="311"/>
      <c r="F13" s="312"/>
      <c r="G13" s="312"/>
      <c r="H13" s="309"/>
    </row>
    <row r="14" spans="1:18">
      <c r="A14" s="304"/>
      <c r="B14" s="311"/>
      <c r="C14" s="306"/>
      <c r="D14" s="311"/>
      <c r="E14" s="311"/>
      <c r="F14" s="312"/>
      <c r="G14" s="312"/>
      <c r="H14" s="309"/>
    </row>
    <row r="15" spans="1:18">
      <c r="A15" s="304"/>
      <c r="B15" s="311"/>
      <c r="C15" s="306"/>
      <c r="D15" s="311"/>
      <c r="E15" s="311"/>
      <c r="F15" s="312"/>
      <c r="G15" s="312"/>
      <c r="H15" s="309"/>
    </row>
    <row r="16" spans="1:18">
      <c r="A16" s="304"/>
      <c r="B16" s="311"/>
      <c r="C16" s="306"/>
      <c r="D16" s="311"/>
      <c r="E16" s="311"/>
      <c r="F16" s="312"/>
      <c r="G16" s="312"/>
      <c r="H16" s="309"/>
    </row>
    <row r="17" spans="1:8">
      <c r="A17" s="304"/>
      <c r="B17" s="311"/>
      <c r="C17" s="306"/>
      <c r="D17" s="311"/>
      <c r="E17" s="311"/>
      <c r="F17" s="312"/>
      <c r="G17" s="312"/>
      <c r="H17" s="309"/>
    </row>
    <row r="18" spans="1:8">
      <c r="A18" s="304"/>
      <c r="B18" s="311"/>
      <c r="C18" s="306"/>
      <c r="D18" s="311"/>
      <c r="E18" s="311"/>
      <c r="F18" s="312"/>
      <c r="G18" s="312"/>
      <c r="H18" s="309"/>
    </row>
    <row r="19" spans="1:8">
      <c r="A19" s="304"/>
      <c r="B19" s="311"/>
      <c r="C19" s="306"/>
      <c r="D19" s="311"/>
      <c r="E19" s="311"/>
      <c r="F19" s="312"/>
      <c r="G19" s="312"/>
      <c r="H19" s="309"/>
    </row>
    <row r="20" spans="1:8">
      <c r="A20" s="304"/>
      <c r="B20" s="311"/>
      <c r="C20" s="306"/>
      <c r="D20" s="311"/>
      <c r="E20" s="311"/>
      <c r="F20" s="312"/>
      <c r="G20" s="312"/>
      <c r="H20" s="309"/>
    </row>
    <row r="21" spans="1:8">
      <c r="A21" s="304"/>
      <c r="B21" s="311"/>
      <c r="C21" s="306"/>
      <c r="D21" s="311"/>
      <c r="E21" s="311"/>
      <c r="F21" s="312"/>
      <c r="G21" s="312"/>
      <c r="H21" s="309"/>
    </row>
    <row r="22" spans="1:8">
      <c r="A22" s="304"/>
      <c r="B22" s="311"/>
      <c r="C22" s="306"/>
      <c r="D22" s="311"/>
      <c r="E22" s="311"/>
      <c r="F22" s="312"/>
      <c r="G22" s="312"/>
      <c r="H22" s="309"/>
    </row>
    <row r="23" spans="1:8">
      <c r="A23" s="304"/>
      <c r="B23" s="311"/>
      <c r="C23" s="306"/>
      <c r="D23" s="311"/>
      <c r="E23" s="311"/>
      <c r="F23" s="312"/>
      <c r="G23" s="312"/>
      <c r="H23" s="309"/>
    </row>
    <row r="24" spans="1:8">
      <c r="A24" s="304"/>
      <c r="B24" s="311"/>
      <c r="C24" s="306"/>
      <c r="D24" s="311"/>
      <c r="E24" s="311"/>
      <c r="F24" s="312"/>
      <c r="G24" s="312"/>
      <c r="H24" s="309"/>
    </row>
    <row r="25" spans="1:8">
      <c r="A25" s="304"/>
      <c r="B25" s="311"/>
      <c r="C25" s="306"/>
      <c r="D25" s="311"/>
      <c r="E25" s="311"/>
      <c r="F25" s="312"/>
      <c r="G25" s="312"/>
      <c r="H25" s="309"/>
    </row>
    <row r="26" spans="1:8">
      <c r="A26" s="304"/>
      <c r="B26" s="311"/>
      <c r="C26" s="306"/>
      <c r="D26" s="311"/>
      <c r="E26" s="311"/>
      <c r="F26" s="312"/>
      <c r="G26" s="312"/>
      <c r="H26" s="309"/>
    </row>
    <row r="27" spans="1:8">
      <c r="A27" s="304"/>
      <c r="B27" s="311"/>
      <c r="C27" s="306"/>
      <c r="D27" s="311"/>
      <c r="E27" s="311"/>
      <c r="F27" s="312"/>
      <c r="G27" s="312"/>
      <c r="H27" s="309"/>
    </row>
    <row r="28" spans="1:8">
      <c r="A28" s="304"/>
      <c r="B28" s="311"/>
      <c r="C28" s="306"/>
      <c r="D28" s="311"/>
      <c r="E28" s="311"/>
      <c r="F28" s="312"/>
      <c r="G28" s="312"/>
      <c r="H28" s="309"/>
    </row>
    <row r="29" spans="1:8">
      <c r="A29" s="304"/>
      <c r="B29" s="311"/>
      <c r="C29" s="306"/>
      <c r="D29" s="311"/>
      <c r="E29" s="311"/>
      <c r="F29" s="312"/>
      <c r="G29" s="312"/>
      <c r="H29" s="309"/>
    </row>
    <row r="30" spans="1:8">
      <c r="A30" s="304"/>
      <c r="B30" s="311"/>
      <c r="C30" s="306"/>
      <c r="D30" s="311"/>
      <c r="E30" s="311"/>
      <c r="F30" s="312"/>
      <c r="G30" s="312"/>
      <c r="H30" s="309"/>
    </row>
    <row r="31" spans="1:8">
      <c r="A31" s="304"/>
      <c r="B31" s="311"/>
      <c r="C31" s="306"/>
      <c r="D31" s="311"/>
      <c r="E31" s="311"/>
      <c r="F31" s="312"/>
      <c r="G31" s="312"/>
      <c r="H31" s="309"/>
    </row>
    <row r="32" spans="1:8">
      <c r="A32" s="304"/>
      <c r="B32" s="311"/>
      <c r="C32" s="306"/>
      <c r="D32" s="311"/>
      <c r="E32" s="311"/>
      <c r="F32" s="312"/>
      <c r="G32" s="312"/>
      <c r="H32" s="309"/>
    </row>
    <row r="33" spans="1:13">
      <c r="A33" s="304"/>
      <c r="B33" s="311"/>
      <c r="C33" s="306"/>
      <c r="D33" s="311"/>
      <c r="E33" s="311"/>
      <c r="F33" s="312"/>
      <c r="G33" s="312"/>
      <c r="H33" s="309"/>
    </row>
    <row r="34" spans="1:13">
      <c r="A34" s="304"/>
      <c r="B34" s="311"/>
      <c r="C34" s="306"/>
      <c r="D34" s="311"/>
      <c r="E34" s="311"/>
      <c r="F34" s="312"/>
      <c r="G34" s="312"/>
      <c r="H34" s="309"/>
    </row>
    <row r="35" spans="1:13">
      <c r="A35" s="304"/>
      <c r="B35" s="311"/>
      <c r="C35" s="306"/>
      <c r="D35" s="311"/>
      <c r="E35" s="311"/>
      <c r="F35" s="312"/>
      <c r="G35" s="312"/>
      <c r="H35" s="309"/>
    </row>
    <row r="36" spans="1:13">
      <c r="A36" s="304"/>
      <c r="B36" s="311"/>
      <c r="C36" s="306"/>
      <c r="D36" s="311"/>
      <c r="E36" s="311"/>
      <c r="F36" s="312"/>
      <c r="G36" s="312"/>
      <c r="H36" s="309"/>
    </row>
    <row r="37" spans="1:13">
      <c r="A37" s="304"/>
      <c r="B37" s="311"/>
      <c r="C37" s="306"/>
      <c r="D37" s="311"/>
      <c r="E37" s="311"/>
      <c r="F37" s="312"/>
      <c r="G37" s="312"/>
      <c r="H37" s="309"/>
    </row>
    <row r="38" spans="1:13">
      <c r="A38" s="313" t="s">
        <v>270</v>
      </c>
      <c r="B38" s="311"/>
      <c r="C38" s="306"/>
      <c r="D38" s="311"/>
      <c r="E38" s="311"/>
      <c r="F38" s="312"/>
      <c r="G38" s="312"/>
      <c r="H38" s="309"/>
    </row>
    <row r="39" spans="1:13">
      <c r="A39" s="465" t="s">
        <v>254</v>
      </c>
      <c r="B39" s="465"/>
      <c r="C39" s="465"/>
      <c r="D39" s="314">
        <f>SUM(D10:D38)</f>
        <v>1</v>
      </c>
      <c r="E39" s="314">
        <f>SUM(E10:E38)</f>
        <v>0</v>
      </c>
      <c r="F39" s="314">
        <f>SUM(F10:F38)</f>
        <v>1</v>
      </c>
      <c r="G39" s="314">
        <f>SUM(G10:G38)</f>
        <v>0</v>
      </c>
      <c r="H39" s="314">
        <f>SUM(H10:H38)</f>
        <v>539</v>
      </c>
    </row>
    <row r="40" spans="1:13">
      <c r="A40" s="315" t="s">
        <v>271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</row>
    <row r="41" spans="1:13">
      <c r="A41" s="315"/>
      <c r="B41" s="315"/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</row>
    <row r="42" spans="1:13" s="300" customFormat="1">
      <c r="A42" s="316"/>
      <c r="B42" s="316"/>
      <c r="C42" s="316"/>
      <c r="D42" s="316"/>
      <c r="E42" s="316"/>
      <c r="F42" s="316"/>
      <c r="G42" s="316"/>
      <c r="H42" s="317"/>
      <c r="I42" s="317"/>
      <c r="J42" s="317"/>
      <c r="K42" s="317"/>
      <c r="L42" s="317"/>
      <c r="M42" s="317"/>
    </row>
    <row r="43" spans="1:13" s="300" customFormat="1">
      <c r="A43" s="282"/>
      <c r="B43" s="282"/>
      <c r="C43" s="318"/>
      <c r="D43" s="282"/>
      <c r="E43" s="282"/>
      <c r="F43" s="282"/>
      <c r="G43" s="282"/>
      <c r="H43" s="282"/>
      <c r="I43" s="282"/>
      <c r="J43" s="282"/>
      <c r="K43" s="282"/>
      <c r="L43" s="282"/>
      <c r="M43" s="282"/>
    </row>
  </sheetData>
  <sheetProtection formatCells="0" formatColumns="0" formatRows="0" insertColumns="0" insertRows="0" insertHyperlinks="0" deleteColumns="0" deleteRows="0" selectLockedCells="1" sort="0" autoFilter="0"/>
  <mergeCells count="20">
    <mergeCell ref="A39:C39"/>
    <mergeCell ref="M3:M4"/>
    <mergeCell ref="A6:H6"/>
    <mergeCell ref="A7:H7"/>
    <mergeCell ref="A8:A9"/>
    <mergeCell ref="B8:B9"/>
    <mergeCell ref="C8:C9"/>
    <mergeCell ref="D8:E8"/>
    <mergeCell ref="F8:G8"/>
    <mergeCell ref="H8:H9"/>
    <mergeCell ref="A1:M1"/>
    <mergeCell ref="A2:E2"/>
    <mergeCell ref="F2:H2"/>
    <mergeCell ref="I2:I4"/>
    <mergeCell ref="J2:M2"/>
    <mergeCell ref="A3:A4"/>
    <mergeCell ref="B3:B4"/>
    <mergeCell ref="C3:E3"/>
    <mergeCell ref="H3:H4"/>
    <mergeCell ref="J3:L3"/>
  </mergeCells>
  <phoneticPr fontId="1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2"/>
  <sheetViews>
    <sheetView workbookViewId="0"/>
  </sheetViews>
  <sheetFormatPr defaultColWidth="9.25" defaultRowHeight="16.3"/>
  <cols>
    <col min="1" max="16384" width="9.25" style="234"/>
  </cols>
  <sheetData>
    <row r="1" spans="1:110">
      <c r="A1" s="247">
        <v>1</v>
      </c>
      <c r="B1" s="247">
        <v>2</v>
      </c>
      <c r="C1" s="247">
        <v>3</v>
      </c>
      <c r="D1" s="247">
        <v>4</v>
      </c>
      <c r="E1" s="247">
        <v>5</v>
      </c>
      <c r="F1" s="247">
        <v>6</v>
      </c>
      <c r="G1" s="247">
        <v>7</v>
      </c>
      <c r="H1" s="247">
        <v>8</v>
      </c>
      <c r="I1" s="247">
        <v>9</v>
      </c>
      <c r="J1" s="247">
        <v>10</v>
      </c>
      <c r="K1" s="247">
        <v>11</v>
      </c>
      <c r="L1" s="247">
        <v>12</v>
      </c>
      <c r="M1" s="247">
        <v>13</v>
      </c>
      <c r="N1" s="247">
        <v>14</v>
      </c>
      <c r="O1" s="247">
        <v>15</v>
      </c>
      <c r="P1" s="247">
        <v>16</v>
      </c>
      <c r="Q1" s="247">
        <v>17</v>
      </c>
      <c r="R1" s="247">
        <v>18</v>
      </c>
      <c r="S1" s="247">
        <v>19</v>
      </c>
      <c r="T1" s="247">
        <v>20</v>
      </c>
      <c r="U1" s="247">
        <v>21</v>
      </c>
      <c r="V1" s="247">
        <v>22</v>
      </c>
      <c r="W1" s="247">
        <v>23</v>
      </c>
      <c r="X1" s="247">
        <v>24</v>
      </c>
      <c r="Y1" s="247">
        <v>25</v>
      </c>
      <c r="Z1" s="247">
        <v>26</v>
      </c>
      <c r="AA1" s="247">
        <v>27</v>
      </c>
      <c r="AB1" s="247">
        <v>28</v>
      </c>
      <c r="AC1" s="247">
        <v>29</v>
      </c>
      <c r="AD1" s="247">
        <v>30</v>
      </c>
      <c r="AE1" s="247">
        <v>31</v>
      </c>
      <c r="AF1" s="247">
        <v>32</v>
      </c>
      <c r="AG1" s="247">
        <v>33</v>
      </c>
      <c r="AH1" s="247">
        <v>34</v>
      </c>
      <c r="AI1" s="247">
        <v>35</v>
      </c>
      <c r="AJ1" s="247">
        <v>36</v>
      </c>
      <c r="AK1" s="247">
        <v>37</v>
      </c>
      <c r="AL1" s="247">
        <v>38</v>
      </c>
      <c r="AM1" s="247">
        <v>39</v>
      </c>
      <c r="AN1" s="247">
        <v>40</v>
      </c>
      <c r="AO1" s="247">
        <v>41</v>
      </c>
      <c r="AP1" s="247">
        <v>42</v>
      </c>
      <c r="AQ1" s="247">
        <v>43</v>
      </c>
      <c r="AR1" s="247">
        <v>44</v>
      </c>
      <c r="AS1" s="247">
        <v>45</v>
      </c>
      <c r="AT1" s="247">
        <v>46</v>
      </c>
      <c r="AU1" s="247">
        <v>47</v>
      </c>
      <c r="AV1" s="247">
        <v>48</v>
      </c>
      <c r="AW1" s="247">
        <v>49</v>
      </c>
      <c r="AX1" s="247">
        <v>50</v>
      </c>
      <c r="AY1" s="280">
        <v>51</v>
      </c>
      <c r="AZ1" s="280">
        <v>52</v>
      </c>
      <c r="BA1" s="280">
        <v>53</v>
      </c>
      <c r="BB1" s="280">
        <v>54</v>
      </c>
      <c r="BC1" s="280">
        <v>55</v>
      </c>
      <c r="BD1" s="280">
        <v>56</v>
      </c>
      <c r="BE1" s="280">
        <v>57</v>
      </c>
      <c r="BF1" s="280">
        <v>58</v>
      </c>
      <c r="BG1" s="280">
        <v>59</v>
      </c>
      <c r="BH1" s="280">
        <v>60</v>
      </c>
      <c r="BI1" s="280">
        <v>61</v>
      </c>
      <c r="BJ1" s="280">
        <v>62</v>
      </c>
      <c r="BK1" s="280">
        <v>63</v>
      </c>
      <c r="BL1" s="280">
        <v>64</v>
      </c>
      <c r="BM1" s="280">
        <v>65</v>
      </c>
      <c r="BN1" s="280">
        <v>66</v>
      </c>
      <c r="BO1" s="280">
        <v>67</v>
      </c>
      <c r="BP1" s="280">
        <v>68</v>
      </c>
      <c r="BQ1" s="280">
        <v>69</v>
      </c>
      <c r="BR1" s="280">
        <v>70</v>
      </c>
      <c r="BS1" s="280">
        <v>71</v>
      </c>
      <c r="BT1" s="280">
        <v>72</v>
      </c>
      <c r="BU1" s="280">
        <v>73</v>
      </c>
      <c r="BV1" s="280">
        <v>74</v>
      </c>
      <c r="BW1" s="280">
        <v>75</v>
      </c>
      <c r="BX1" s="280">
        <v>76</v>
      </c>
      <c r="BY1" s="280">
        <v>77</v>
      </c>
      <c r="BZ1" s="280">
        <v>78</v>
      </c>
      <c r="CA1" s="280">
        <v>79</v>
      </c>
      <c r="CB1" s="280">
        <v>80</v>
      </c>
      <c r="CC1" s="280">
        <v>81</v>
      </c>
      <c r="CD1" s="280">
        <v>82</v>
      </c>
      <c r="CE1" s="280">
        <v>83</v>
      </c>
      <c r="CF1" s="280">
        <v>84</v>
      </c>
      <c r="CG1" s="280">
        <v>85</v>
      </c>
      <c r="CH1" s="280">
        <v>86</v>
      </c>
      <c r="CI1" s="280">
        <v>87</v>
      </c>
      <c r="CJ1" s="280">
        <v>88</v>
      </c>
      <c r="CK1" s="280">
        <v>89</v>
      </c>
      <c r="CL1" s="280">
        <v>90</v>
      </c>
      <c r="CM1" s="280">
        <v>91</v>
      </c>
      <c r="CN1" s="280">
        <v>92</v>
      </c>
      <c r="CO1" s="280">
        <v>93</v>
      </c>
      <c r="CP1" s="280">
        <v>94</v>
      </c>
      <c r="CQ1" s="280">
        <v>95</v>
      </c>
      <c r="CR1" s="280">
        <v>96</v>
      </c>
      <c r="CS1" s="280">
        <v>97</v>
      </c>
      <c r="CT1" s="280">
        <v>98</v>
      </c>
      <c r="CU1" s="280">
        <v>99</v>
      </c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</row>
    <row r="2" spans="1:110" ht="32.6">
      <c r="A2" s="232" t="s">
        <v>204</v>
      </c>
      <c r="B2" s="233" t="s">
        <v>192</v>
      </c>
      <c r="C2" s="233" t="s">
        <v>192</v>
      </c>
      <c r="D2" s="233" t="s">
        <v>193</v>
      </c>
      <c r="E2" s="233" t="s">
        <v>193</v>
      </c>
      <c r="F2" s="233" t="s">
        <v>194</v>
      </c>
      <c r="G2" s="233" t="s">
        <v>194</v>
      </c>
      <c r="H2" s="233" t="s">
        <v>195</v>
      </c>
      <c r="I2" s="233" t="s">
        <v>195</v>
      </c>
      <c r="J2" s="233" t="s">
        <v>196</v>
      </c>
      <c r="K2" s="233" t="s">
        <v>197</v>
      </c>
      <c r="L2" s="233" t="s">
        <v>198</v>
      </c>
      <c r="M2" s="233" t="s">
        <v>199</v>
      </c>
      <c r="N2" s="233" t="s">
        <v>199</v>
      </c>
      <c r="O2" s="233" t="s">
        <v>200</v>
      </c>
      <c r="P2" s="233" t="s">
        <v>200</v>
      </c>
      <c r="Q2" s="233" t="s">
        <v>200</v>
      </c>
      <c r="R2" s="233" t="s">
        <v>200</v>
      </c>
      <c r="S2" s="233" t="s">
        <v>192</v>
      </c>
      <c r="T2" s="233" t="s">
        <v>192</v>
      </c>
      <c r="U2" s="233" t="s">
        <v>193</v>
      </c>
      <c r="V2" s="233" t="s">
        <v>193</v>
      </c>
      <c r="W2" s="233" t="s">
        <v>194</v>
      </c>
      <c r="X2" s="233" t="s">
        <v>194</v>
      </c>
      <c r="Y2" s="233" t="s">
        <v>195</v>
      </c>
      <c r="Z2" s="233" t="s">
        <v>195</v>
      </c>
      <c r="AA2" s="233" t="s">
        <v>196</v>
      </c>
      <c r="AB2" s="233" t="s">
        <v>197</v>
      </c>
      <c r="AC2" s="233" t="s">
        <v>198</v>
      </c>
      <c r="AD2" s="233" t="s">
        <v>199</v>
      </c>
      <c r="AE2" s="233" t="s">
        <v>199</v>
      </c>
      <c r="AF2" s="233" t="s">
        <v>200</v>
      </c>
      <c r="AG2" s="233" t="s">
        <v>200</v>
      </c>
      <c r="AH2" s="233" t="s">
        <v>200</v>
      </c>
      <c r="AI2" s="233" t="s">
        <v>200</v>
      </c>
      <c r="AJ2" s="233" t="s">
        <v>192</v>
      </c>
      <c r="AK2" s="233" t="s">
        <v>192</v>
      </c>
      <c r="AL2" s="233" t="s">
        <v>193</v>
      </c>
      <c r="AM2" s="233" t="s">
        <v>193</v>
      </c>
      <c r="AN2" s="233" t="s">
        <v>194</v>
      </c>
      <c r="AO2" s="233" t="s">
        <v>194</v>
      </c>
      <c r="AP2" s="233" t="s">
        <v>195</v>
      </c>
      <c r="AQ2" s="233" t="s">
        <v>195</v>
      </c>
      <c r="AR2" s="233" t="s">
        <v>196</v>
      </c>
      <c r="AS2" s="233" t="s">
        <v>197</v>
      </c>
      <c r="AT2" s="233" t="s">
        <v>198</v>
      </c>
      <c r="AU2" s="233" t="s">
        <v>199</v>
      </c>
      <c r="AV2" s="233" t="s">
        <v>199</v>
      </c>
      <c r="AW2" s="233" t="s">
        <v>200</v>
      </c>
      <c r="AX2" s="233" t="s">
        <v>200</v>
      </c>
      <c r="AY2" s="275" t="s">
        <v>192</v>
      </c>
      <c r="AZ2" s="275" t="s">
        <v>192</v>
      </c>
      <c r="BA2" s="275" t="s">
        <v>193</v>
      </c>
      <c r="BB2" s="275" t="s">
        <v>193</v>
      </c>
      <c r="BC2" s="275" t="s">
        <v>194</v>
      </c>
      <c r="BD2" s="275" t="s">
        <v>194</v>
      </c>
      <c r="BE2" s="275" t="s">
        <v>195</v>
      </c>
      <c r="BF2" s="275" t="s">
        <v>195</v>
      </c>
      <c r="BG2" s="275" t="s">
        <v>196</v>
      </c>
      <c r="BH2" s="275" t="s">
        <v>197</v>
      </c>
      <c r="BI2" s="275" t="s">
        <v>198</v>
      </c>
      <c r="BJ2" s="275" t="s">
        <v>199</v>
      </c>
      <c r="BK2" s="275" t="s">
        <v>199</v>
      </c>
      <c r="BL2" s="275" t="s">
        <v>200</v>
      </c>
      <c r="BM2" s="275" t="s">
        <v>200</v>
      </c>
      <c r="BN2" s="275" t="s">
        <v>200</v>
      </c>
      <c r="BO2" s="275" t="s">
        <v>200</v>
      </c>
      <c r="BP2" s="275" t="s">
        <v>192</v>
      </c>
      <c r="BQ2" s="275" t="s">
        <v>192</v>
      </c>
      <c r="BR2" s="275" t="s">
        <v>193</v>
      </c>
      <c r="BS2" s="275" t="s">
        <v>193</v>
      </c>
      <c r="BT2" s="275" t="s">
        <v>194</v>
      </c>
      <c r="BU2" s="275" t="s">
        <v>194</v>
      </c>
      <c r="BV2" s="275" t="s">
        <v>195</v>
      </c>
      <c r="BW2" s="275" t="s">
        <v>195</v>
      </c>
      <c r="BX2" s="275" t="s">
        <v>196</v>
      </c>
      <c r="BY2" s="275" t="s">
        <v>197</v>
      </c>
      <c r="BZ2" s="275" t="s">
        <v>198</v>
      </c>
      <c r="CA2" s="275" t="s">
        <v>199</v>
      </c>
      <c r="CB2" s="275" t="s">
        <v>199</v>
      </c>
      <c r="CC2" s="275" t="s">
        <v>200</v>
      </c>
      <c r="CD2" s="275" t="s">
        <v>200</v>
      </c>
      <c r="CE2" s="275" t="s">
        <v>200</v>
      </c>
      <c r="CF2" s="275" t="s">
        <v>200</v>
      </c>
      <c r="CG2" s="275" t="s">
        <v>192</v>
      </c>
      <c r="CH2" s="275" t="s">
        <v>192</v>
      </c>
      <c r="CI2" s="275" t="s">
        <v>193</v>
      </c>
      <c r="CJ2" s="275" t="s">
        <v>193</v>
      </c>
      <c r="CK2" s="275" t="s">
        <v>194</v>
      </c>
      <c r="CL2" s="275" t="s">
        <v>194</v>
      </c>
      <c r="CM2" s="275" t="s">
        <v>195</v>
      </c>
      <c r="CN2" s="275" t="s">
        <v>195</v>
      </c>
      <c r="CO2" s="275" t="s">
        <v>196</v>
      </c>
      <c r="CP2" s="275" t="s">
        <v>197</v>
      </c>
      <c r="CQ2" s="275" t="s">
        <v>198</v>
      </c>
      <c r="CR2" s="275" t="s">
        <v>199</v>
      </c>
      <c r="CS2" s="275" t="s">
        <v>199</v>
      </c>
      <c r="CT2" s="275" t="s">
        <v>200</v>
      </c>
      <c r="CU2" s="275" t="s">
        <v>200</v>
      </c>
    </row>
    <row r="3" spans="1:110">
      <c r="A3" s="233" t="s">
        <v>205</v>
      </c>
      <c r="B3" s="235">
        <v>7</v>
      </c>
      <c r="C3" s="235">
        <v>7</v>
      </c>
      <c r="D3" s="235">
        <v>7</v>
      </c>
      <c r="E3" s="235">
        <v>7</v>
      </c>
      <c r="F3" s="235">
        <v>7</v>
      </c>
      <c r="G3" s="235">
        <v>7</v>
      </c>
      <c r="H3" s="235">
        <v>7</v>
      </c>
      <c r="I3" s="235">
        <v>7</v>
      </c>
      <c r="J3" s="235">
        <v>7</v>
      </c>
      <c r="K3" s="235">
        <v>7</v>
      </c>
      <c r="L3" s="235">
        <v>7</v>
      </c>
      <c r="M3" s="235">
        <v>7</v>
      </c>
      <c r="N3" s="235">
        <v>7</v>
      </c>
      <c r="O3" s="235">
        <v>7</v>
      </c>
      <c r="P3" s="235">
        <v>7</v>
      </c>
      <c r="Q3" s="235">
        <v>7</v>
      </c>
      <c r="R3" s="235">
        <v>7</v>
      </c>
      <c r="S3" s="235">
        <v>8</v>
      </c>
      <c r="T3" s="235">
        <v>8</v>
      </c>
      <c r="U3" s="235">
        <v>8</v>
      </c>
      <c r="V3" s="235">
        <v>8</v>
      </c>
      <c r="W3" s="235">
        <v>8</v>
      </c>
      <c r="X3" s="235">
        <v>8</v>
      </c>
      <c r="Y3" s="235">
        <v>8</v>
      </c>
      <c r="Z3" s="235">
        <v>8</v>
      </c>
      <c r="AA3" s="235">
        <v>8</v>
      </c>
      <c r="AB3" s="235">
        <v>8</v>
      </c>
      <c r="AC3" s="235">
        <v>8</v>
      </c>
      <c r="AD3" s="235">
        <v>8</v>
      </c>
      <c r="AE3" s="235">
        <v>8</v>
      </c>
      <c r="AF3" s="235">
        <v>8</v>
      </c>
      <c r="AG3" s="235">
        <v>8</v>
      </c>
      <c r="AH3" s="235">
        <v>8</v>
      </c>
      <c r="AI3" s="235">
        <v>8</v>
      </c>
      <c r="AJ3" s="235">
        <v>9</v>
      </c>
      <c r="AK3" s="235">
        <v>9</v>
      </c>
      <c r="AL3" s="235">
        <v>9</v>
      </c>
      <c r="AM3" s="235">
        <v>9</v>
      </c>
      <c r="AN3" s="235">
        <v>9</v>
      </c>
      <c r="AO3" s="235">
        <v>9</v>
      </c>
      <c r="AP3" s="235">
        <v>9</v>
      </c>
      <c r="AQ3" s="235">
        <v>9</v>
      </c>
      <c r="AR3" s="235">
        <v>9</v>
      </c>
      <c r="AS3" s="235">
        <v>9</v>
      </c>
      <c r="AT3" s="235">
        <v>9</v>
      </c>
      <c r="AU3" s="235">
        <v>9</v>
      </c>
      <c r="AV3" s="235">
        <v>9</v>
      </c>
      <c r="AW3" s="235">
        <v>9</v>
      </c>
      <c r="AX3" s="235">
        <v>9</v>
      </c>
      <c r="AY3" s="279">
        <v>7</v>
      </c>
      <c r="AZ3" s="279">
        <v>7</v>
      </c>
      <c r="BA3" s="279">
        <v>7</v>
      </c>
      <c r="BB3" s="279">
        <v>7</v>
      </c>
      <c r="BC3" s="279">
        <v>7</v>
      </c>
      <c r="BD3" s="279">
        <v>7</v>
      </c>
      <c r="BE3" s="279">
        <v>7</v>
      </c>
      <c r="BF3" s="279">
        <v>7</v>
      </c>
      <c r="BG3" s="279">
        <v>7</v>
      </c>
      <c r="BH3" s="279">
        <v>7</v>
      </c>
      <c r="BI3" s="279">
        <v>7</v>
      </c>
      <c r="BJ3" s="279">
        <v>7</v>
      </c>
      <c r="BK3" s="279">
        <v>7</v>
      </c>
      <c r="BL3" s="279">
        <v>7</v>
      </c>
      <c r="BM3" s="279">
        <v>7</v>
      </c>
      <c r="BN3" s="279">
        <v>7</v>
      </c>
      <c r="BO3" s="279">
        <v>7</v>
      </c>
      <c r="BP3" s="279">
        <v>8</v>
      </c>
      <c r="BQ3" s="279">
        <v>8</v>
      </c>
      <c r="BR3" s="279">
        <v>8</v>
      </c>
      <c r="BS3" s="279">
        <v>8</v>
      </c>
      <c r="BT3" s="279">
        <v>8</v>
      </c>
      <c r="BU3" s="279">
        <v>8</v>
      </c>
      <c r="BV3" s="279">
        <v>8</v>
      </c>
      <c r="BW3" s="279">
        <v>8</v>
      </c>
      <c r="BX3" s="279">
        <v>8</v>
      </c>
      <c r="BY3" s="279">
        <v>8</v>
      </c>
      <c r="BZ3" s="279">
        <v>8</v>
      </c>
      <c r="CA3" s="279">
        <v>8</v>
      </c>
      <c r="CB3" s="279">
        <v>8</v>
      </c>
      <c r="CC3" s="279">
        <v>8</v>
      </c>
      <c r="CD3" s="279">
        <v>8</v>
      </c>
      <c r="CE3" s="279">
        <v>8</v>
      </c>
      <c r="CF3" s="279">
        <v>8</v>
      </c>
      <c r="CG3" s="279">
        <v>9</v>
      </c>
      <c r="CH3" s="279">
        <v>9</v>
      </c>
      <c r="CI3" s="279">
        <v>9</v>
      </c>
      <c r="CJ3" s="279">
        <v>9</v>
      </c>
      <c r="CK3" s="279">
        <v>9</v>
      </c>
      <c r="CL3" s="279">
        <v>9</v>
      </c>
      <c r="CM3" s="279">
        <v>9</v>
      </c>
      <c r="CN3" s="279">
        <v>9</v>
      </c>
      <c r="CO3" s="279">
        <v>9</v>
      </c>
      <c r="CP3" s="279">
        <v>9</v>
      </c>
      <c r="CQ3" s="279">
        <v>9</v>
      </c>
      <c r="CR3" s="279">
        <v>9</v>
      </c>
      <c r="CS3" s="279">
        <v>9</v>
      </c>
      <c r="CT3" s="279">
        <v>9</v>
      </c>
      <c r="CU3" s="279">
        <v>9</v>
      </c>
    </row>
    <row r="4" spans="1:110">
      <c r="A4" s="233" t="s">
        <v>201</v>
      </c>
      <c r="B4" s="248" t="s">
        <v>202</v>
      </c>
      <c r="C4" s="248" t="s">
        <v>203</v>
      </c>
      <c r="D4" s="248" t="s">
        <v>202</v>
      </c>
      <c r="E4" s="248" t="s">
        <v>203</v>
      </c>
      <c r="F4" s="248" t="s">
        <v>202</v>
      </c>
      <c r="G4" s="248" t="s">
        <v>203</v>
      </c>
      <c r="H4" s="248" t="s">
        <v>202</v>
      </c>
      <c r="I4" s="248" t="s">
        <v>203</v>
      </c>
      <c r="J4" s="248" t="s">
        <v>202</v>
      </c>
      <c r="K4" s="248" t="s">
        <v>202</v>
      </c>
      <c r="L4" s="248" t="s">
        <v>202</v>
      </c>
      <c r="M4" s="248" t="s">
        <v>202</v>
      </c>
      <c r="N4" s="248" t="s">
        <v>203</v>
      </c>
      <c r="O4" s="248" t="s">
        <v>202</v>
      </c>
      <c r="P4" s="248" t="s">
        <v>203</v>
      </c>
      <c r="Q4" s="248" t="s">
        <v>202</v>
      </c>
      <c r="R4" s="248" t="s">
        <v>203</v>
      </c>
      <c r="S4" s="248" t="s">
        <v>202</v>
      </c>
      <c r="T4" s="248" t="s">
        <v>203</v>
      </c>
      <c r="U4" s="248" t="s">
        <v>202</v>
      </c>
      <c r="V4" s="248" t="s">
        <v>203</v>
      </c>
      <c r="W4" s="248" t="s">
        <v>202</v>
      </c>
      <c r="X4" s="248" t="s">
        <v>203</v>
      </c>
      <c r="Y4" s="248" t="s">
        <v>202</v>
      </c>
      <c r="Z4" s="248" t="s">
        <v>203</v>
      </c>
      <c r="AA4" s="248" t="s">
        <v>202</v>
      </c>
      <c r="AB4" s="248" t="s">
        <v>202</v>
      </c>
      <c r="AC4" s="248" t="s">
        <v>202</v>
      </c>
      <c r="AD4" s="248" t="s">
        <v>202</v>
      </c>
      <c r="AE4" s="248" t="s">
        <v>203</v>
      </c>
      <c r="AF4" s="248" t="s">
        <v>202</v>
      </c>
      <c r="AG4" s="248" t="s">
        <v>203</v>
      </c>
      <c r="AH4" s="248" t="s">
        <v>202</v>
      </c>
      <c r="AI4" s="248" t="s">
        <v>203</v>
      </c>
      <c r="AJ4" s="248" t="s">
        <v>202</v>
      </c>
      <c r="AK4" s="248" t="s">
        <v>203</v>
      </c>
      <c r="AL4" s="248" t="s">
        <v>202</v>
      </c>
      <c r="AM4" s="248" t="s">
        <v>203</v>
      </c>
      <c r="AN4" s="248" t="s">
        <v>202</v>
      </c>
      <c r="AO4" s="248" t="s">
        <v>203</v>
      </c>
      <c r="AP4" s="248" t="s">
        <v>202</v>
      </c>
      <c r="AQ4" s="248" t="s">
        <v>203</v>
      </c>
      <c r="AR4" s="248" t="s">
        <v>202</v>
      </c>
      <c r="AS4" s="248" t="s">
        <v>202</v>
      </c>
      <c r="AT4" s="248" t="s">
        <v>202</v>
      </c>
      <c r="AU4" s="248" t="s">
        <v>202</v>
      </c>
      <c r="AV4" s="248" t="s">
        <v>203</v>
      </c>
      <c r="AW4" s="248" t="s">
        <v>202</v>
      </c>
      <c r="AX4" s="276" t="s">
        <v>203</v>
      </c>
      <c r="AY4" s="281" t="s">
        <v>202</v>
      </c>
      <c r="AZ4" s="281" t="s">
        <v>203</v>
      </c>
      <c r="BA4" s="281" t="s">
        <v>202</v>
      </c>
      <c r="BB4" s="281" t="s">
        <v>203</v>
      </c>
      <c r="BC4" s="281" t="s">
        <v>202</v>
      </c>
      <c r="BD4" s="281" t="s">
        <v>203</v>
      </c>
      <c r="BE4" s="281" t="s">
        <v>202</v>
      </c>
      <c r="BF4" s="281" t="s">
        <v>203</v>
      </c>
      <c r="BG4" s="281" t="s">
        <v>202</v>
      </c>
      <c r="BH4" s="281" t="s">
        <v>202</v>
      </c>
      <c r="BI4" s="281" t="s">
        <v>202</v>
      </c>
      <c r="BJ4" s="281" t="s">
        <v>202</v>
      </c>
      <c r="BK4" s="281" t="s">
        <v>203</v>
      </c>
      <c r="BL4" s="281" t="s">
        <v>202</v>
      </c>
      <c r="BM4" s="281" t="s">
        <v>203</v>
      </c>
      <c r="BN4" s="281" t="s">
        <v>202</v>
      </c>
      <c r="BO4" s="281" t="s">
        <v>203</v>
      </c>
      <c r="BP4" s="281" t="s">
        <v>202</v>
      </c>
      <c r="BQ4" s="281" t="s">
        <v>203</v>
      </c>
      <c r="BR4" s="281" t="s">
        <v>202</v>
      </c>
      <c r="BS4" s="281" t="s">
        <v>203</v>
      </c>
      <c r="BT4" s="281" t="s">
        <v>202</v>
      </c>
      <c r="BU4" s="281" t="s">
        <v>203</v>
      </c>
      <c r="BV4" s="281" t="s">
        <v>202</v>
      </c>
      <c r="BW4" s="281" t="s">
        <v>203</v>
      </c>
      <c r="BX4" s="281" t="s">
        <v>202</v>
      </c>
      <c r="BY4" s="281" t="s">
        <v>202</v>
      </c>
      <c r="BZ4" s="281" t="s">
        <v>202</v>
      </c>
      <c r="CA4" s="281" t="s">
        <v>202</v>
      </c>
      <c r="CB4" s="281" t="s">
        <v>203</v>
      </c>
      <c r="CC4" s="281" t="s">
        <v>202</v>
      </c>
      <c r="CD4" s="281" t="s">
        <v>203</v>
      </c>
      <c r="CE4" s="281" t="s">
        <v>202</v>
      </c>
      <c r="CF4" s="281" t="s">
        <v>203</v>
      </c>
      <c r="CG4" s="281" t="s">
        <v>202</v>
      </c>
      <c r="CH4" s="281" t="s">
        <v>203</v>
      </c>
      <c r="CI4" s="281" t="s">
        <v>202</v>
      </c>
      <c r="CJ4" s="281" t="s">
        <v>203</v>
      </c>
      <c r="CK4" s="281" t="s">
        <v>202</v>
      </c>
      <c r="CL4" s="281" t="s">
        <v>203</v>
      </c>
      <c r="CM4" s="281" t="s">
        <v>202</v>
      </c>
      <c r="CN4" s="281" t="s">
        <v>203</v>
      </c>
      <c r="CO4" s="281" t="s">
        <v>202</v>
      </c>
      <c r="CP4" s="281" t="s">
        <v>202</v>
      </c>
      <c r="CQ4" s="281" t="s">
        <v>202</v>
      </c>
      <c r="CR4" s="281" t="s">
        <v>202</v>
      </c>
      <c r="CS4" s="281" t="s">
        <v>203</v>
      </c>
      <c r="CT4" s="281" t="s">
        <v>202</v>
      </c>
      <c r="CU4" s="281" t="s">
        <v>203</v>
      </c>
    </row>
    <row r="5" spans="1:110">
      <c r="A5" s="236" t="s">
        <v>288</v>
      </c>
      <c r="B5" s="249">
        <v>84</v>
      </c>
      <c r="C5" s="249">
        <v>36</v>
      </c>
      <c r="D5" s="249">
        <v>120</v>
      </c>
      <c r="E5" s="249">
        <v>40</v>
      </c>
      <c r="F5" s="249">
        <v>90</v>
      </c>
      <c r="G5" s="249">
        <v>36</v>
      </c>
      <c r="H5" s="249">
        <v>90</v>
      </c>
      <c r="I5" s="249">
        <v>31</v>
      </c>
      <c r="J5" s="249">
        <v>86</v>
      </c>
      <c r="K5" s="249">
        <v>61</v>
      </c>
      <c r="L5" s="249">
        <v>105</v>
      </c>
      <c r="M5" s="249">
        <v>67</v>
      </c>
      <c r="N5" s="249">
        <v>32</v>
      </c>
      <c r="O5" s="249">
        <v>0</v>
      </c>
      <c r="P5" s="249">
        <v>0</v>
      </c>
      <c r="Q5" s="250">
        <v>115</v>
      </c>
      <c r="R5" s="250">
        <v>30</v>
      </c>
      <c r="S5" s="249">
        <v>90</v>
      </c>
      <c r="T5" s="249">
        <v>36</v>
      </c>
      <c r="U5" s="249">
        <v>108</v>
      </c>
      <c r="V5" s="249">
        <v>35</v>
      </c>
      <c r="W5" s="249">
        <v>86</v>
      </c>
      <c r="X5" s="249">
        <v>33</v>
      </c>
      <c r="Y5" s="249">
        <v>90</v>
      </c>
      <c r="Z5" s="249">
        <v>34</v>
      </c>
      <c r="AA5" s="249">
        <v>87</v>
      </c>
      <c r="AB5" s="249">
        <v>59</v>
      </c>
      <c r="AC5" s="249">
        <v>105</v>
      </c>
      <c r="AD5" s="249">
        <v>71</v>
      </c>
      <c r="AE5" s="249">
        <v>29</v>
      </c>
      <c r="AF5" s="249">
        <v>0</v>
      </c>
      <c r="AG5" s="249">
        <v>0</v>
      </c>
      <c r="AH5" s="250">
        <v>100</v>
      </c>
      <c r="AI5" s="250">
        <v>34</v>
      </c>
      <c r="AJ5" s="249">
        <v>59</v>
      </c>
      <c r="AK5" s="249">
        <v>27</v>
      </c>
      <c r="AL5" s="249">
        <v>91</v>
      </c>
      <c r="AM5" s="249">
        <v>21</v>
      </c>
      <c r="AN5" s="249">
        <v>65</v>
      </c>
      <c r="AO5" s="249">
        <v>23</v>
      </c>
      <c r="AP5" s="249">
        <v>67</v>
      </c>
      <c r="AQ5" s="249">
        <v>29</v>
      </c>
      <c r="AR5" s="249">
        <v>80</v>
      </c>
      <c r="AS5" s="249">
        <v>52</v>
      </c>
      <c r="AT5" s="249">
        <v>105</v>
      </c>
      <c r="AU5" s="249">
        <v>52</v>
      </c>
      <c r="AV5" s="249">
        <v>21</v>
      </c>
      <c r="AW5" s="249">
        <v>109</v>
      </c>
      <c r="AX5" s="277">
        <v>34</v>
      </c>
      <c r="AY5" s="281">
        <v>9</v>
      </c>
      <c r="AZ5" s="281">
        <v>4</v>
      </c>
      <c r="BA5" s="281">
        <v>13</v>
      </c>
      <c r="BB5" s="281">
        <v>4</v>
      </c>
      <c r="BC5" s="281">
        <v>10</v>
      </c>
      <c r="BD5" s="281">
        <v>4</v>
      </c>
      <c r="BE5" s="281">
        <v>10</v>
      </c>
      <c r="BF5" s="281">
        <v>3</v>
      </c>
      <c r="BG5" s="281">
        <v>9</v>
      </c>
      <c r="BH5" s="281">
        <v>6</v>
      </c>
      <c r="BI5" s="281">
        <v>11</v>
      </c>
      <c r="BJ5" s="281">
        <v>7</v>
      </c>
      <c r="BK5" s="281">
        <v>3</v>
      </c>
      <c r="BL5" s="281">
        <v>0</v>
      </c>
      <c r="BM5" s="281">
        <v>0</v>
      </c>
      <c r="BN5" s="281">
        <v>12</v>
      </c>
      <c r="BO5" s="281">
        <v>3</v>
      </c>
      <c r="BP5" s="281">
        <v>10</v>
      </c>
      <c r="BQ5" s="281">
        <v>4</v>
      </c>
      <c r="BR5" s="281">
        <v>11</v>
      </c>
      <c r="BS5" s="281">
        <v>4</v>
      </c>
      <c r="BT5" s="281">
        <v>9</v>
      </c>
      <c r="BU5" s="281">
        <v>4</v>
      </c>
      <c r="BV5" s="281">
        <v>10</v>
      </c>
      <c r="BW5" s="281">
        <v>4</v>
      </c>
      <c r="BX5" s="281">
        <v>9</v>
      </c>
      <c r="BY5" s="281">
        <v>6</v>
      </c>
      <c r="BZ5" s="281">
        <v>11</v>
      </c>
      <c r="CA5" s="281">
        <v>8</v>
      </c>
      <c r="CB5" s="281">
        <v>3</v>
      </c>
      <c r="CC5" s="281">
        <v>0</v>
      </c>
      <c r="CD5" s="281">
        <v>0</v>
      </c>
      <c r="CE5" s="281">
        <v>11</v>
      </c>
      <c r="CF5" s="281">
        <v>4</v>
      </c>
      <c r="CG5" s="281">
        <v>6</v>
      </c>
      <c r="CH5" s="281">
        <v>3</v>
      </c>
      <c r="CI5" s="281">
        <v>10</v>
      </c>
      <c r="CJ5" s="281">
        <v>2</v>
      </c>
      <c r="CK5" s="281">
        <v>7</v>
      </c>
      <c r="CL5" s="281">
        <v>3</v>
      </c>
      <c r="CM5" s="281">
        <v>7</v>
      </c>
      <c r="CN5" s="281">
        <v>3</v>
      </c>
      <c r="CO5" s="281">
        <v>8</v>
      </c>
      <c r="CP5" s="281">
        <v>6</v>
      </c>
      <c r="CQ5" s="281">
        <v>11</v>
      </c>
      <c r="CR5" s="281">
        <v>6</v>
      </c>
      <c r="CS5" s="281">
        <v>2</v>
      </c>
      <c r="CT5" s="281">
        <v>12</v>
      </c>
      <c r="CU5" s="281">
        <v>4</v>
      </c>
    </row>
    <row r="6" spans="1:110">
      <c r="A6" s="236" t="s">
        <v>187</v>
      </c>
      <c r="B6" s="249">
        <v>84</v>
      </c>
      <c r="C6" s="249">
        <v>46</v>
      </c>
      <c r="D6" s="249">
        <v>100</v>
      </c>
      <c r="E6" s="249">
        <v>36</v>
      </c>
      <c r="F6" s="249">
        <v>80</v>
      </c>
      <c r="G6" s="249">
        <v>33</v>
      </c>
      <c r="H6" s="249">
        <v>87</v>
      </c>
      <c r="I6" s="249">
        <v>28</v>
      </c>
      <c r="J6" s="249">
        <v>96</v>
      </c>
      <c r="K6" s="249">
        <v>48</v>
      </c>
      <c r="L6" s="249">
        <v>106</v>
      </c>
      <c r="M6" s="250">
        <v>0</v>
      </c>
      <c r="N6" s="250">
        <v>0</v>
      </c>
      <c r="O6" s="249">
        <v>0</v>
      </c>
      <c r="P6" s="249">
        <v>0</v>
      </c>
      <c r="Q6" s="250">
        <v>123</v>
      </c>
      <c r="R6" s="250">
        <v>50</v>
      </c>
      <c r="S6" s="249">
        <v>92</v>
      </c>
      <c r="T6" s="249">
        <v>51</v>
      </c>
      <c r="U6" s="249">
        <v>103</v>
      </c>
      <c r="V6" s="249">
        <v>32</v>
      </c>
      <c r="W6" s="249">
        <v>86</v>
      </c>
      <c r="X6" s="249">
        <v>34</v>
      </c>
      <c r="Y6" s="249">
        <v>82</v>
      </c>
      <c r="Z6" s="249">
        <v>37</v>
      </c>
      <c r="AA6" s="249">
        <v>84</v>
      </c>
      <c r="AB6" s="249">
        <v>57</v>
      </c>
      <c r="AC6" s="249">
        <v>114</v>
      </c>
      <c r="AD6" s="250">
        <v>0</v>
      </c>
      <c r="AE6" s="250">
        <v>0</v>
      </c>
      <c r="AF6" s="249">
        <v>0</v>
      </c>
      <c r="AG6" s="249">
        <v>0</v>
      </c>
      <c r="AH6" s="250">
        <v>110</v>
      </c>
      <c r="AI6" s="250">
        <v>31</v>
      </c>
      <c r="AJ6" s="249">
        <v>59</v>
      </c>
      <c r="AK6" s="249">
        <v>32</v>
      </c>
      <c r="AL6" s="249">
        <v>93</v>
      </c>
      <c r="AM6" s="249">
        <v>22</v>
      </c>
      <c r="AN6" s="249">
        <v>65</v>
      </c>
      <c r="AO6" s="249">
        <v>27</v>
      </c>
      <c r="AP6" s="249">
        <v>61</v>
      </c>
      <c r="AQ6" s="249">
        <v>27</v>
      </c>
      <c r="AR6" s="249">
        <v>117</v>
      </c>
      <c r="AS6" s="249">
        <v>53</v>
      </c>
      <c r="AT6" s="249">
        <v>96</v>
      </c>
      <c r="AU6" s="250">
        <v>0</v>
      </c>
      <c r="AV6" s="250">
        <v>0</v>
      </c>
      <c r="AW6" s="249">
        <v>94</v>
      </c>
      <c r="AX6" s="277">
        <v>23</v>
      </c>
      <c r="AY6" s="281">
        <v>9</v>
      </c>
      <c r="AZ6" s="281">
        <v>5</v>
      </c>
      <c r="BA6" s="281">
        <v>11</v>
      </c>
      <c r="BB6" s="281">
        <v>4</v>
      </c>
      <c r="BC6" s="281">
        <v>8</v>
      </c>
      <c r="BD6" s="281">
        <v>3</v>
      </c>
      <c r="BE6" s="281">
        <v>9</v>
      </c>
      <c r="BF6" s="281">
        <v>3</v>
      </c>
      <c r="BG6" s="281">
        <v>10</v>
      </c>
      <c r="BH6" s="281">
        <v>5</v>
      </c>
      <c r="BI6" s="281">
        <v>11</v>
      </c>
      <c r="BJ6" s="281">
        <v>0</v>
      </c>
      <c r="BK6" s="281">
        <v>0</v>
      </c>
      <c r="BL6" s="281">
        <v>0</v>
      </c>
      <c r="BM6" s="281">
        <v>0</v>
      </c>
      <c r="BN6" s="281">
        <v>13</v>
      </c>
      <c r="BO6" s="281">
        <v>5</v>
      </c>
      <c r="BP6" s="281">
        <v>10</v>
      </c>
      <c r="BQ6" s="281">
        <v>5</v>
      </c>
      <c r="BR6" s="281">
        <v>11</v>
      </c>
      <c r="BS6" s="281">
        <v>3</v>
      </c>
      <c r="BT6" s="281">
        <v>9</v>
      </c>
      <c r="BU6" s="281">
        <v>4</v>
      </c>
      <c r="BV6" s="281">
        <v>9</v>
      </c>
      <c r="BW6" s="281">
        <v>4</v>
      </c>
      <c r="BX6" s="281">
        <v>9</v>
      </c>
      <c r="BY6" s="281">
        <v>6</v>
      </c>
      <c r="BZ6" s="281">
        <v>12</v>
      </c>
      <c r="CA6" s="281">
        <v>0</v>
      </c>
      <c r="CB6" s="281">
        <v>0</v>
      </c>
      <c r="CC6" s="281">
        <v>0</v>
      </c>
      <c r="CD6" s="281">
        <v>0</v>
      </c>
      <c r="CE6" s="281">
        <v>12</v>
      </c>
      <c r="CF6" s="281">
        <v>3</v>
      </c>
      <c r="CG6" s="281">
        <v>6</v>
      </c>
      <c r="CH6" s="281">
        <v>3</v>
      </c>
      <c r="CI6" s="281">
        <v>10</v>
      </c>
      <c r="CJ6" s="281">
        <v>2</v>
      </c>
      <c r="CK6" s="281">
        <v>7</v>
      </c>
      <c r="CL6" s="281">
        <v>3</v>
      </c>
      <c r="CM6" s="281">
        <v>7</v>
      </c>
      <c r="CN6" s="281">
        <v>3</v>
      </c>
      <c r="CO6" s="281">
        <v>12</v>
      </c>
      <c r="CP6" s="281">
        <v>6</v>
      </c>
      <c r="CQ6" s="281">
        <v>10</v>
      </c>
      <c r="CR6" s="281">
        <v>0</v>
      </c>
      <c r="CS6" s="281">
        <v>0</v>
      </c>
      <c r="CT6" s="281">
        <v>10</v>
      </c>
      <c r="CU6" s="281">
        <v>3</v>
      </c>
    </row>
    <row r="7" spans="1:110">
      <c r="A7" s="236" t="s">
        <v>188</v>
      </c>
      <c r="B7" s="250">
        <v>0</v>
      </c>
      <c r="C7" s="250">
        <v>0</v>
      </c>
      <c r="D7" s="250">
        <v>0</v>
      </c>
      <c r="E7" s="250">
        <v>0</v>
      </c>
      <c r="F7" s="250">
        <v>0</v>
      </c>
      <c r="G7" s="250">
        <v>0</v>
      </c>
      <c r="H7" s="250">
        <v>0</v>
      </c>
      <c r="I7" s="250">
        <v>0</v>
      </c>
      <c r="J7" s="250">
        <v>0</v>
      </c>
      <c r="K7" s="250">
        <v>0</v>
      </c>
      <c r="L7" s="250">
        <v>0</v>
      </c>
      <c r="M7" s="249">
        <v>76</v>
      </c>
      <c r="N7" s="249">
        <v>32</v>
      </c>
      <c r="O7" s="250">
        <v>0</v>
      </c>
      <c r="P7" s="250">
        <v>0</v>
      </c>
      <c r="Q7" s="250">
        <v>0</v>
      </c>
      <c r="R7" s="250">
        <v>0</v>
      </c>
      <c r="S7" s="250">
        <v>0</v>
      </c>
      <c r="T7" s="250">
        <v>0</v>
      </c>
      <c r="U7" s="250">
        <v>0</v>
      </c>
      <c r="V7" s="250">
        <v>0</v>
      </c>
      <c r="W7" s="250">
        <v>0</v>
      </c>
      <c r="X7" s="250">
        <v>0</v>
      </c>
      <c r="Y7" s="250">
        <v>0</v>
      </c>
      <c r="Z7" s="250">
        <v>0</v>
      </c>
      <c r="AA7" s="250">
        <v>0</v>
      </c>
      <c r="AB7" s="250">
        <v>0</v>
      </c>
      <c r="AC7" s="250">
        <v>0</v>
      </c>
      <c r="AD7" s="249">
        <v>74</v>
      </c>
      <c r="AE7" s="249">
        <v>31</v>
      </c>
      <c r="AF7" s="250">
        <v>0</v>
      </c>
      <c r="AG7" s="250">
        <v>0</v>
      </c>
      <c r="AH7" s="250">
        <v>0</v>
      </c>
      <c r="AI7" s="250">
        <v>0</v>
      </c>
      <c r="AJ7" s="250">
        <v>0</v>
      </c>
      <c r="AK7" s="250">
        <v>0</v>
      </c>
      <c r="AL7" s="250">
        <v>0</v>
      </c>
      <c r="AM7" s="250">
        <v>0</v>
      </c>
      <c r="AN7" s="250">
        <v>0</v>
      </c>
      <c r="AO7" s="250">
        <v>0</v>
      </c>
      <c r="AP7" s="250">
        <v>0</v>
      </c>
      <c r="AQ7" s="250">
        <v>0</v>
      </c>
      <c r="AR7" s="250">
        <v>0</v>
      </c>
      <c r="AS7" s="250">
        <v>0</v>
      </c>
      <c r="AT7" s="250">
        <v>0</v>
      </c>
      <c r="AU7" s="249">
        <v>57</v>
      </c>
      <c r="AV7" s="249">
        <v>19</v>
      </c>
      <c r="AW7" s="250">
        <v>0</v>
      </c>
      <c r="AX7" s="278">
        <v>0</v>
      </c>
      <c r="AY7" s="281">
        <v>0</v>
      </c>
      <c r="AZ7" s="281">
        <v>0</v>
      </c>
      <c r="BA7" s="281">
        <v>0</v>
      </c>
      <c r="BB7" s="281">
        <v>0</v>
      </c>
      <c r="BC7" s="281">
        <v>0</v>
      </c>
      <c r="BD7" s="281">
        <v>0</v>
      </c>
      <c r="BE7" s="281">
        <v>0</v>
      </c>
      <c r="BF7" s="281">
        <v>0</v>
      </c>
      <c r="BG7" s="281">
        <v>0</v>
      </c>
      <c r="BH7" s="281">
        <v>0</v>
      </c>
      <c r="BI7" s="281">
        <v>0</v>
      </c>
      <c r="BJ7" s="281">
        <v>8</v>
      </c>
      <c r="BK7" s="281">
        <v>3</v>
      </c>
      <c r="BL7" s="281">
        <v>0</v>
      </c>
      <c r="BM7" s="281">
        <v>0</v>
      </c>
      <c r="BN7" s="281">
        <v>0</v>
      </c>
      <c r="BO7" s="281">
        <v>0</v>
      </c>
      <c r="BP7" s="281">
        <v>0</v>
      </c>
      <c r="BQ7" s="281">
        <v>0</v>
      </c>
      <c r="BR7" s="281">
        <v>0</v>
      </c>
      <c r="BS7" s="281">
        <v>0</v>
      </c>
      <c r="BT7" s="281">
        <v>0</v>
      </c>
      <c r="BU7" s="281">
        <v>0</v>
      </c>
      <c r="BV7" s="281">
        <v>0</v>
      </c>
      <c r="BW7" s="281">
        <v>0</v>
      </c>
      <c r="BX7" s="281">
        <v>0</v>
      </c>
      <c r="BY7" s="281">
        <v>0</v>
      </c>
      <c r="BZ7" s="281">
        <v>0</v>
      </c>
      <c r="CA7" s="281">
        <v>8</v>
      </c>
      <c r="CB7" s="281">
        <v>3</v>
      </c>
      <c r="CC7" s="281">
        <v>0</v>
      </c>
      <c r="CD7" s="281">
        <v>0</v>
      </c>
      <c r="CE7" s="281">
        <v>0</v>
      </c>
      <c r="CF7" s="281">
        <v>0</v>
      </c>
      <c r="CG7" s="281">
        <v>0</v>
      </c>
      <c r="CH7" s="281">
        <v>0</v>
      </c>
      <c r="CI7" s="281">
        <v>0</v>
      </c>
      <c r="CJ7" s="281">
        <v>0</v>
      </c>
      <c r="CK7" s="281">
        <v>0</v>
      </c>
      <c r="CL7" s="281">
        <v>0</v>
      </c>
      <c r="CM7" s="281">
        <v>0</v>
      </c>
      <c r="CN7" s="281">
        <v>0</v>
      </c>
      <c r="CO7" s="281">
        <v>0</v>
      </c>
      <c r="CP7" s="281">
        <v>0</v>
      </c>
      <c r="CQ7" s="281">
        <v>0</v>
      </c>
      <c r="CR7" s="281">
        <v>6</v>
      </c>
      <c r="CS7" s="281">
        <v>2</v>
      </c>
      <c r="CT7" s="281">
        <v>0</v>
      </c>
      <c r="CU7" s="281">
        <v>0</v>
      </c>
    </row>
    <row r="8" spans="1:110">
      <c r="A8" s="236" t="s">
        <v>189</v>
      </c>
      <c r="B8" s="249">
        <v>80</v>
      </c>
      <c r="C8" s="249">
        <v>44</v>
      </c>
      <c r="D8" s="249">
        <v>118</v>
      </c>
      <c r="E8" s="249">
        <v>35</v>
      </c>
      <c r="F8" s="249">
        <v>125</v>
      </c>
      <c r="G8" s="249">
        <v>47</v>
      </c>
      <c r="H8" s="249">
        <v>86</v>
      </c>
      <c r="I8" s="249">
        <v>29</v>
      </c>
      <c r="J8" s="249">
        <v>89</v>
      </c>
      <c r="K8" s="249">
        <v>52</v>
      </c>
      <c r="L8" s="250">
        <v>0</v>
      </c>
      <c r="M8" s="249">
        <v>73</v>
      </c>
      <c r="N8" s="249">
        <v>27</v>
      </c>
      <c r="O8" s="249">
        <v>0</v>
      </c>
      <c r="P8" s="249">
        <v>0</v>
      </c>
      <c r="Q8" s="250">
        <v>102</v>
      </c>
      <c r="R8" s="250">
        <v>35</v>
      </c>
      <c r="S8" s="249">
        <v>93</v>
      </c>
      <c r="T8" s="249">
        <v>48</v>
      </c>
      <c r="U8" s="249">
        <v>103</v>
      </c>
      <c r="V8" s="249">
        <v>37</v>
      </c>
      <c r="W8" s="249">
        <v>123</v>
      </c>
      <c r="X8" s="249">
        <v>46</v>
      </c>
      <c r="Y8" s="249">
        <v>101</v>
      </c>
      <c r="Z8" s="249">
        <v>42</v>
      </c>
      <c r="AA8" s="249">
        <v>99</v>
      </c>
      <c r="AB8" s="249">
        <v>48</v>
      </c>
      <c r="AC8" s="250">
        <v>0</v>
      </c>
      <c r="AD8" s="249">
        <v>79</v>
      </c>
      <c r="AE8" s="249">
        <v>26</v>
      </c>
      <c r="AF8" s="249">
        <v>0</v>
      </c>
      <c r="AG8" s="249">
        <v>0</v>
      </c>
      <c r="AH8" s="250">
        <v>129</v>
      </c>
      <c r="AI8" s="250">
        <v>40</v>
      </c>
      <c r="AJ8" s="249">
        <v>71</v>
      </c>
      <c r="AK8" s="249">
        <v>33</v>
      </c>
      <c r="AL8" s="249">
        <v>90</v>
      </c>
      <c r="AM8" s="249">
        <v>26</v>
      </c>
      <c r="AN8" s="249">
        <v>89</v>
      </c>
      <c r="AO8" s="249">
        <v>38</v>
      </c>
      <c r="AP8" s="249">
        <v>84</v>
      </c>
      <c r="AQ8" s="249">
        <v>32</v>
      </c>
      <c r="AR8" s="249">
        <v>80</v>
      </c>
      <c r="AS8" s="249">
        <v>46</v>
      </c>
      <c r="AT8" s="250">
        <v>0</v>
      </c>
      <c r="AU8" s="249">
        <v>56</v>
      </c>
      <c r="AV8" s="249">
        <v>30</v>
      </c>
      <c r="AW8" s="249">
        <v>107</v>
      </c>
      <c r="AX8" s="277">
        <v>27</v>
      </c>
      <c r="AY8" s="281">
        <v>8</v>
      </c>
      <c r="AZ8" s="281">
        <v>6</v>
      </c>
      <c r="BA8" s="281">
        <v>12</v>
      </c>
      <c r="BB8" s="281">
        <v>4</v>
      </c>
      <c r="BC8" s="281">
        <v>12</v>
      </c>
      <c r="BD8" s="281">
        <v>5</v>
      </c>
      <c r="BE8" s="281">
        <v>9</v>
      </c>
      <c r="BF8" s="281">
        <v>3</v>
      </c>
      <c r="BG8" s="281">
        <v>9</v>
      </c>
      <c r="BH8" s="281">
        <v>6</v>
      </c>
      <c r="BI8" s="281">
        <v>0</v>
      </c>
      <c r="BJ8" s="281">
        <v>8</v>
      </c>
      <c r="BK8" s="281">
        <v>3</v>
      </c>
      <c r="BL8" s="281">
        <v>0</v>
      </c>
      <c r="BM8" s="281">
        <v>0</v>
      </c>
      <c r="BN8" s="281">
        <v>11</v>
      </c>
      <c r="BO8" s="281">
        <v>3</v>
      </c>
      <c r="BP8" s="281">
        <v>9</v>
      </c>
      <c r="BQ8" s="281">
        <v>5</v>
      </c>
      <c r="BR8" s="281">
        <v>11</v>
      </c>
      <c r="BS8" s="281">
        <v>4</v>
      </c>
      <c r="BT8" s="281">
        <v>12</v>
      </c>
      <c r="BU8" s="281">
        <v>4</v>
      </c>
      <c r="BV8" s="281">
        <v>11</v>
      </c>
      <c r="BW8" s="281">
        <v>5</v>
      </c>
      <c r="BX8" s="281">
        <v>10</v>
      </c>
      <c r="BY8" s="281">
        <v>5</v>
      </c>
      <c r="BZ8" s="281">
        <v>0</v>
      </c>
      <c r="CA8" s="281">
        <v>8</v>
      </c>
      <c r="CB8" s="281">
        <v>3</v>
      </c>
      <c r="CC8" s="281">
        <v>0</v>
      </c>
      <c r="CD8" s="281">
        <v>0</v>
      </c>
      <c r="CE8" s="281">
        <v>15</v>
      </c>
      <c r="CF8" s="281">
        <v>4</v>
      </c>
      <c r="CG8" s="281">
        <v>7</v>
      </c>
      <c r="CH8" s="281">
        <v>4</v>
      </c>
      <c r="CI8" s="281">
        <v>12</v>
      </c>
      <c r="CJ8" s="281">
        <v>3</v>
      </c>
      <c r="CK8" s="281">
        <v>9</v>
      </c>
      <c r="CL8" s="281">
        <v>4</v>
      </c>
      <c r="CM8" s="281">
        <v>10</v>
      </c>
      <c r="CN8" s="281">
        <v>4</v>
      </c>
      <c r="CO8" s="281">
        <v>8</v>
      </c>
      <c r="CP8" s="281">
        <v>5</v>
      </c>
      <c r="CQ8" s="281">
        <v>0</v>
      </c>
      <c r="CR8" s="281">
        <v>6</v>
      </c>
      <c r="CS8" s="281">
        <v>3</v>
      </c>
      <c r="CT8" s="281">
        <v>10</v>
      </c>
      <c r="CU8" s="281">
        <v>3</v>
      </c>
    </row>
    <row r="9" spans="1:110">
      <c r="A9" s="236" t="s">
        <v>190</v>
      </c>
      <c r="B9" s="250">
        <v>0</v>
      </c>
      <c r="C9" s="250">
        <v>0</v>
      </c>
      <c r="D9" s="250">
        <v>0</v>
      </c>
      <c r="E9" s="250">
        <v>0</v>
      </c>
      <c r="F9" s="250">
        <v>0</v>
      </c>
      <c r="G9" s="250">
        <v>0</v>
      </c>
      <c r="H9" s="250">
        <v>0</v>
      </c>
      <c r="I9" s="250">
        <v>0</v>
      </c>
      <c r="J9" s="250">
        <v>0</v>
      </c>
      <c r="K9" s="250">
        <v>0</v>
      </c>
      <c r="L9" s="249">
        <v>127</v>
      </c>
      <c r="M9" s="250">
        <v>0</v>
      </c>
      <c r="N9" s="250">
        <v>0</v>
      </c>
      <c r="O9" s="249">
        <v>85</v>
      </c>
      <c r="P9" s="250">
        <v>0</v>
      </c>
      <c r="Q9" s="249">
        <v>73</v>
      </c>
      <c r="R9" s="249">
        <v>32</v>
      </c>
      <c r="S9" s="250">
        <v>0</v>
      </c>
      <c r="T9" s="250">
        <v>0</v>
      </c>
      <c r="U9" s="250">
        <v>0</v>
      </c>
      <c r="V9" s="250">
        <v>0</v>
      </c>
      <c r="W9" s="250">
        <v>0</v>
      </c>
      <c r="X9" s="250">
        <v>0</v>
      </c>
      <c r="Y9" s="250">
        <v>0</v>
      </c>
      <c r="Z9" s="250">
        <v>0</v>
      </c>
      <c r="AA9" s="250">
        <v>0</v>
      </c>
      <c r="AB9" s="250">
        <v>0</v>
      </c>
      <c r="AC9" s="249">
        <v>127</v>
      </c>
      <c r="AD9" s="250">
        <v>0</v>
      </c>
      <c r="AE9" s="250">
        <v>0</v>
      </c>
      <c r="AF9" s="249">
        <v>99</v>
      </c>
      <c r="AG9" s="250">
        <v>0</v>
      </c>
      <c r="AH9" s="249">
        <v>134</v>
      </c>
      <c r="AI9" s="251">
        <v>35</v>
      </c>
      <c r="AJ9" s="250">
        <v>0</v>
      </c>
      <c r="AK9" s="250">
        <v>0</v>
      </c>
      <c r="AL9" s="250">
        <v>0</v>
      </c>
      <c r="AM9" s="250">
        <v>0</v>
      </c>
      <c r="AN9" s="250">
        <v>0</v>
      </c>
      <c r="AO9" s="250">
        <v>0</v>
      </c>
      <c r="AP9" s="250">
        <v>0</v>
      </c>
      <c r="AQ9" s="250">
        <v>0</v>
      </c>
      <c r="AR9" s="250">
        <v>0</v>
      </c>
      <c r="AS9" s="250">
        <v>0</v>
      </c>
      <c r="AT9" s="250">
        <v>0</v>
      </c>
      <c r="AU9" s="250">
        <v>0</v>
      </c>
      <c r="AV9" s="250">
        <v>0</v>
      </c>
      <c r="AW9" s="250">
        <v>0</v>
      </c>
      <c r="AX9" s="278">
        <v>0</v>
      </c>
      <c r="AY9" s="281">
        <v>0</v>
      </c>
      <c r="AZ9" s="281">
        <v>0</v>
      </c>
      <c r="BA9" s="281">
        <v>0</v>
      </c>
      <c r="BB9" s="281">
        <v>0</v>
      </c>
      <c r="BC9" s="281">
        <v>0</v>
      </c>
      <c r="BD9" s="281">
        <v>0</v>
      </c>
      <c r="BE9" s="281">
        <v>0</v>
      </c>
      <c r="BF9" s="281">
        <v>0</v>
      </c>
      <c r="BG9" s="281">
        <v>0</v>
      </c>
      <c r="BH9" s="281">
        <v>0</v>
      </c>
      <c r="BI9" s="281">
        <v>8</v>
      </c>
      <c r="BJ9" s="281">
        <v>0</v>
      </c>
      <c r="BK9" s="281">
        <v>0</v>
      </c>
      <c r="BL9" s="281">
        <v>5</v>
      </c>
      <c r="BM9" s="281">
        <v>0</v>
      </c>
      <c r="BN9" s="281">
        <v>5</v>
      </c>
      <c r="BO9" s="281">
        <v>6</v>
      </c>
      <c r="BP9" s="281">
        <v>0</v>
      </c>
      <c r="BQ9" s="281">
        <v>0</v>
      </c>
      <c r="BR9" s="281">
        <v>0</v>
      </c>
      <c r="BS9" s="281">
        <v>0</v>
      </c>
      <c r="BT9" s="281">
        <v>0</v>
      </c>
      <c r="BU9" s="281">
        <v>0</v>
      </c>
      <c r="BV9" s="281">
        <v>0</v>
      </c>
      <c r="BW9" s="281">
        <v>0</v>
      </c>
      <c r="BX9" s="281">
        <v>0</v>
      </c>
      <c r="BY9" s="281">
        <v>0</v>
      </c>
      <c r="BZ9" s="281">
        <v>8</v>
      </c>
      <c r="CA9" s="281">
        <v>0</v>
      </c>
      <c r="CB9" s="281">
        <v>0</v>
      </c>
      <c r="CC9" s="281">
        <v>6</v>
      </c>
      <c r="CD9" s="281">
        <v>0</v>
      </c>
      <c r="CE9" s="281">
        <v>9</v>
      </c>
      <c r="CF9" s="281">
        <v>7</v>
      </c>
      <c r="CG9" s="281">
        <v>0</v>
      </c>
      <c r="CH9" s="281">
        <v>0</v>
      </c>
      <c r="CI9" s="281">
        <v>0</v>
      </c>
      <c r="CJ9" s="281">
        <v>0</v>
      </c>
      <c r="CK9" s="281">
        <v>0</v>
      </c>
      <c r="CL9" s="281">
        <v>0</v>
      </c>
      <c r="CM9" s="281">
        <v>0</v>
      </c>
      <c r="CN9" s="281">
        <v>0</v>
      </c>
      <c r="CO9" s="281">
        <v>0</v>
      </c>
      <c r="CP9" s="281">
        <v>0</v>
      </c>
      <c r="CQ9" s="281">
        <v>0</v>
      </c>
      <c r="CR9" s="281">
        <v>0</v>
      </c>
      <c r="CS9" s="281">
        <v>0</v>
      </c>
      <c r="CT9" s="281">
        <v>0</v>
      </c>
      <c r="CU9" s="281">
        <v>0</v>
      </c>
    </row>
    <row r="10" spans="1:110">
      <c r="A10" s="236" t="s">
        <v>191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49">
        <v>126</v>
      </c>
      <c r="K10" s="250">
        <v>0</v>
      </c>
      <c r="L10" s="249">
        <v>131</v>
      </c>
      <c r="M10" s="250">
        <v>0</v>
      </c>
      <c r="N10" s="250">
        <v>0</v>
      </c>
      <c r="O10" s="250">
        <v>0</v>
      </c>
      <c r="P10" s="250">
        <v>0</v>
      </c>
      <c r="Q10" s="250">
        <v>0</v>
      </c>
      <c r="R10" s="250">
        <v>0</v>
      </c>
      <c r="S10" s="250">
        <v>0</v>
      </c>
      <c r="T10" s="250">
        <v>0</v>
      </c>
      <c r="U10" s="250">
        <v>0</v>
      </c>
      <c r="V10" s="250">
        <v>0</v>
      </c>
      <c r="W10" s="250">
        <v>0</v>
      </c>
      <c r="X10" s="250">
        <v>0</v>
      </c>
      <c r="Y10" s="250">
        <v>0</v>
      </c>
      <c r="Z10" s="250">
        <v>0</v>
      </c>
      <c r="AA10" s="249">
        <v>117</v>
      </c>
      <c r="AB10" s="250">
        <v>0</v>
      </c>
      <c r="AC10" s="249">
        <v>106</v>
      </c>
      <c r="AD10" s="250">
        <v>0</v>
      </c>
      <c r="AE10" s="250">
        <v>0</v>
      </c>
      <c r="AF10" s="250">
        <v>0</v>
      </c>
      <c r="AG10" s="250">
        <v>0</v>
      </c>
      <c r="AH10" s="250">
        <v>0</v>
      </c>
      <c r="AI10" s="250">
        <v>0</v>
      </c>
      <c r="AJ10" s="250">
        <v>0</v>
      </c>
      <c r="AK10" s="250">
        <v>0</v>
      </c>
      <c r="AL10" s="250">
        <v>0</v>
      </c>
      <c r="AM10" s="250">
        <v>0</v>
      </c>
      <c r="AN10" s="250">
        <v>0</v>
      </c>
      <c r="AO10" s="250">
        <v>0</v>
      </c>
      <c r="AP10" s="250">
        <v>0</v>
      </c>
      <c r="AQ10" s="250">
        <v>0</v>
      </c>
      <c r="AR10" s="250">
        <v>0</v>
      </c>
      <c r="AS10" s="250">
        <v>0</v>
      </c>
      <c r="AT10" s="249">
        <v>104</v>
      </c>
      <c r="AU10" s="250">
        <v>0</v>
      </c>
      <c r="AV10" s="250">
        <v>0</v>
      </c>
      <c r="AW10" s="250">
        <v>0</v>
      </c>
      <c r="AX10" s="278">
        <v>0</v>
      </c>
      <c r="AY10" s="281">
        <v>0</v>
      </c>
      <c r="AZ10" s="281">
        <v>0</v>
      </c>
      <c r="BA10" s="281">
        <v>0</v>
      </c>
      <c r="BB10" s="281">
        <v>0</v>
      </c>
      <c r="BC10" s="281">
        <v>0</v>
      </c>
      <c r="BD10" s="281">
        <v>0</v>
      </c>
      <c r="BE10" s="281">
        <v>0</v>
      </c>
      <c r="BF10" s="281">
        <v>0</v>
      </c>
      <c r="BG10" s="281">
        <v>8</v>
      </c>
      <c r="BH10" s="281">
        <v>0</v>
      </c>
      <c r="BI10" s="281">
        <v>8</v>
      </c>
      <c r="BJ10" s="281">
        <v>0</v>
      </c>
      <c r="BK10" s="281">
        <v>0</v>
      </c>
      <c r="BL10" s="281">
        <v>0</v>
      </c>
      <c r="BM10" s="281">
        <v>0</v>
      </c>
      <c r="BN10" s="281">
        <v>0</v>
      </c>
      <c r="BO10" s="281">
        <v>0</v>
      </c>
      <c r="BP10" s="281">
        <v>0</v>
      </c>
      <c r="BQ10" s="281">
        <v>0</v>
      </c>
      <c r="BR10" s="281">
        <v>0</v>
      </c>
      <c r="BS10" s="281">
        <v>0</v>
      </c>
      <c r="BT10" s="281">
        <v>0</v>
      </c>
      <c r="BU10" s="281">
        <v>0</v>
      </c>
      <c r="BV10" s="281">
        <v>0</v>
      </c>
      <c r="BW10" s="281">
        <v>0</v>
      </c>
      <c r="BX10" s="281">
        <v>7</v>
      </c>
      <c r="BY10" s="281">
        <v>0</v>
      </c>
      <c r="BZ10" s="281">
        <v>7</v>
      </c>
      <c r="CA10" s="281">
        <v>0</v>
      </c>
      <c r="CB10" s="281">
        <v>0</v>
      </c>
      <c r="CC10" s="281">
        <v>0</v>
      </c>
      <c r="CD10" s="281">
        <v>0</v>
      </c>
      <c r="CE10" s="281">
        <v>0</v>
      </c>
      <c r="CF10" s="281">
        <v>0</v>
      </c>
      <c r="CG10" s="281">
        <v>0</v>
      </c>
      <c r="CH10" s="281">
        <v>0</v>
      </c>
      <c r="CI10" s="281">
        <v>0</v>
      </c>
      <c r="CJ10" s="281">
        <v>0</v>
      </c>
      <c r="CK10" s="281">
        <v>0</v>
      </c>
      <c r="CL10" s="281">
        <v>0</v>
      </c>
      <c r="CM10" s="281">
        <v>0</v>
      </c>
      <c r="CN10" s="281">
        <v>0</v>
      </c>
      <c r="CO10" s="281">
        <v>0</v>
      </c>
      <c r="CP10" s="281">
        <v>0</v>
      </c>
      <c r="CQ10" s="281">
        <v>7</v>
      </c>
      <c r="CR10" s="281">
        <v>0</v>
      </c>
      <c r="CS10" s="281">
        <v>0</v>
      </c>
      <c r="CT10" s="281">
        <v>0</v>
      </c>
      <c r="CU10" s="281">
        <v>0</v>
      </c>
    </row>
    <row r="11" spans="1:110">
      <c r="A11" s="236" t="s">
        <v>207</v>
      </c>
      <c r="B11" s="278">
        <v>0</v>
      </c>
      <c r="C11" s="278">
        <v>0</v>
      </c>
      <c r="D11" s="278">
        <v>0</v>
      </c>
      <c r="E11" s="278">
        <v>0</v>
      </c>
      <c r="F11" s="278">
        <v>0</v>
      </c>
      <c r="G11" s="278">
        <v>0</v>
      </c>
      <c r="H11" s="278">
        <v>0</v>
      </c>
      <c r="I11" s="278">
        <v>0</v>
      </c>
      <c r="J11" s="278">
        <v>0</v>
      </c>
      <c r="K11" s="278">
        <v>0</v>
      </c>
      <c r="L11" s="278">
        <v>0</v>
      </c>
      <c r="M11" s="278">
        <v>0</v>
      </c>
      <c r="N11" s="278">
        <v>0</v>
      </c>
      <c r="O11" s="278">
        <v>0</v>
      </c>
      <c r="P11" s="278">
        <v>0</v>
      </c>
      <c r="Q11" s="278">
        <v>0</v>
      </c>
      <c r="R11" s="278">
        <v>0</v>
      </c>
      <c r="S11" s="278">
        <v>0</v>
      </c>
      <c r="T11" s="278">
        <v>0</v>
      </c>
      <c r="U11" s="278">
        <v>0</v>
      </c>
      <c r="V11" s="278">
        <v>0</v>
      </c>
      <c r="W11" s="278">
        <v>0</v>
      </c>
      <c r="X11" s="278">
        <v>0</v>
      </c>
      <c r="Y11" s="278">
        <v>0</v>
      </c>
      <c r="Z11" s="278">
        <v>0</v>
      </c>
      <c r="AA11" s="278">
        <v>0</v>
      </c>
      <c r="AB11" s="278">
        <v>0</v>
      </c>
      <c r="AC11" s="278">
        <v>0</v>
      </c>
      <c r="AD11" s="278">
        <v>0</v>
      </c>
      <c r="AE11" s="278">
        <v>0</v>
      </c>
      <c r="AF11" s="278">
        <v>0</v>
      </c>
      <c r="AG11" s="278">
        <v>0</v>
      </c>
      <c r="AH11" s="278">
        <v>0</v>
      </c>
      <c r="AI11" s="278">
        <v>0</v>
      </c>
      <c r="AJ11" s="278">
        <v>0</v>
      </c>
      <c r="AK11" s="278">
        <v>0</v>
      </c>
      <c r="AL11" s="278">
        <v>0</v>
      </c>
      <c r="AM11" s="278">
        <v>0</v>
      </c>
      <c r="AN11" s="278">
        <v>0</v>
      </c>
      <c r="AO11" s="278">
        <v>0</v>
      </c>
      <c r="AP11" s="278">
        <v>0</v>
      </c>
      <c r="AQ11" s="278">
        <v>0</v>
      </c>
      <c r="AR11" s="278">
        <v>0</v>
      </c>
      <c r="AS11" s="278">
        <v>0</v>
      </c>
      <c r="AT11" s="278">
        <v>0</v>
      </c>
      <c r="AU11" s="278">
        <v>0</v>
      </c>
      <c r="AV11" s="278">
        <v>0</v>
      </c>
      <c r="AW11" s="278">
        <v>0</v>
      </c>
      <c r="AX11" s="278">
        <v>0</v>
      </c>
      <c r="AY11" s="281">
        <v>0</v>
      </c>
      <c r="AZ11" s="281">
        <v>0</v>
      </c>
      <c r="BA11" s="281">
        <v>0</v>
      </c>
      <c r="BB11" s="281">
        <v>0</v>
      </c>
      <c r="BC11" s="281">
        <v>0</v>
      </c>
      <c r="BD11" s="281">
        <v>0</v>
      </c>
      <c r="BE11" s="281">
        <v>0</v>
      </c>
      <c r="BF11" s="281">
        <v>0</v>
      </c>
      <c r="BG11" s="281">
        <v>0</v>
      </c>
      <c r="BH11" s="281">
        <v>0</v>
      </c>
      <c r="BI11" s="281">
        <v>0</v>
      </c>
      <c r="BJ11" s="281">
        <v>0</v>
      </c>
      <c r="BK11" s="281">
        <v>0</v>
      </c>
      <c r="BL11" s="281">
        <v>0</v>
      </c>
      <c r="BM11" s="281">
        <v>0</v>
      </c>
      <c r="BN11" s="281">
        <v>0</v>
      </c>
      <c r="BO11" s="281">
        <v>0</v>
      </c>
      <c r="BP11" s="281">
        <v>0</v>
      </c>
      <c r="BQ11" s="281">
        <v>0</v>
      </c>
      <c r="BR11" s="281">
        <v>0</v>
      </c>
      <c r="BS11" s="281">
        <v>0</v>
      </c>
      <c r="BT11" s="281">
        <v>0</v>
      </c>
      <c r="BU11" s="281">
        <v>0</v>
      </c>
      <c r="BV11" s="281">
        <v>0</v>
      </c>
      <c r="BW11" s="281">
        <v>0</v>
      </c>
      <c r="BX11" s="281">
        <v>0</v>
      </c>
      <c r="BY11" s="281">
        <v>0</v>
      </c>
      <c r="BZ11" s="281">
        <v>0</v>
      </c>
      <c r="CA11" s="281">
        <v>0</v>
      </c>
      <c r="CB11" s="281">
        <v>0</v>
      </c>
      <c r="CC11" s="281">
        <v>0</v>
      </c>
      <c r="CD11" s="281">
        <v>0</v>
      </c>
      <c r="CE11" s="281">
        <v>0</v>
      </c>
      <c r="CF11" s="281">
        <v>0</v>
      </c>
      <c r="CG11" s="281">
        <v>0</v>
      </c>
      <c r="CH11" s="281">
        <v>0</v>
      </c>
      <c r="CI11" s="281">
        <v>0</v>
      </c>
      <c r="CJ11" s="281">
        <v>0</v>
      </c>
      <c r="CK11" s="281">
        <v>0</v>
      </c>
      <c r="CL11" s="281">
        <v>0</v>
      </c>
      <c r="CM11" s="281">
        <v>0</v>
      </c>
      <c r="CN11" s="281">
        <v>0</v>
      </c>
      <c r="CO11" s="281">
        <v>0</v>
      </c>
      <c r="CP11" s="281">
        <v>0</v>
      </c>
      <c r="CQ11" s="281">
        <v>0</v>
      </c>
      <c r="CR11" s="281">
        <v>0</v>
      </c>
      <c r="CS11" s="281">
        <v>0</v>
      </c>
      <c r="CT11" s="281">
        <v>0</v>
      </c>
      <c r="CU11" s="281">
        <v>0</v>
      </c>
    </row>
    <row r="12" spans="1:110">
      <c r="AY12" s="274" t="s">
        <v>234</v>
      </c>
    </row>
  </sheetData>
  <sheetProtection sheet="1" objects="1" scenarios="1" selectLockedCells="1" selectUnlockedCells="1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B15" sqref="AB15"/>
    </sheetView>
  </sheetViews>
  <sheetFormatPr defaultRowHeight="13.15"/>
  <cols>
    <col min="1" max="1" width="4.625" style="319" customWidth="1"/>
    <col min="2" max="2" width="13.75" style="319" customWidth="1"/>
    <col min="3" max="4" width="3.375" style="319" customWidth="1"/>
    <col min="5" max="5" width="5.625" style="319" customWidth="1"/>
    <col min="6" max="23" width="6.625" style="319" customWidth="1"/>
    <col min="24" max="24" width="6.875" style="319" customWidth="1"/>
    <col min="25" max="16384" width="9" style="319"/>
  </cols>
  <sheetData>
    <row r="1" spans="1:24" ht="25.05" customHeight="1">
      <c r="A1" s="480" t="s">
        <v>287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320"/>
    </row>
    <row r="2" spans="1:24" ht="35.1" customHeight="1">
      <c r="A2" s="478" t="s">
        <v>272</v>
      </c>
      <c r="B2" s="479" t="s">
        <v>282</v>
      </c>
      <c r="C2" s="478" t="s">
        <v>273</v>
      </c>
      <c r="D2" s="478" t="s">
        <v>2</v>
      </c>
      <c r="E2" s="478" t="s">
        <v>201</v>
      </c>
      <c r="F2" s="481" t="s">
        <v>276</v>
      </c>
      <c r="G2" s="481"/>
      <c r="H2" s="482"/>
      <c r="I2" s="483" t="s">
        <v>277</v>
      </c>
      <c r="J2" s="481"/>
      <c r="K2" s="482"/>
      <c r="L2" s="483" t="s">
        <v>278</v>
      </c>
      <c r="M2" s="481"/>
      <c r="N2" s="482"/>
      <c r="O2" s="483" t="s">
        <v>279</v>
      </c>
      <c r="P2" s="481"/>
      <c r="Q2" s="482"/>
      <c r="R2" s="483" t="s">
        <v>280</v>
      </c>
      <c r="S2" s="481"/>
      <c r="T2" s="482"/>
      <c r="U2" s="483" t="s">
        <v>281</v>
      </c>
      <c r="V2" s="481"/>
      <c r="W2" s="482"/>
    </row>
    <row r="3" spans="1:24" ht="58.85" customHeight="1">
      <c r="A3" s="478"/>
      <c r="B3" s="479"/>
      <c r="C3" s="478"/>
      <c r="D3" s="478"/>
      <c r="E3" s="478"/>
      <c r="F3" s="327" t="s">
        <v>274</v>
      </c>
      <c r="G3" s="328" t="s">
        <v>285</v>
      </c>
      <c r="H3" s="328" t="s">
        <v>283</v>
      </c>
      <c r="I3" s="328" t="s">
        <v>274</v>
      </c>
      <c r="J3" s="328" t="s">
        <v>284</v>
      </c>
      <c r="K3" s="328" t="s">
        <v>283</v>
      </c>
      <c r="L3" s="328" t="s">
        <v>274</v>
      </c>
      <c r="M3" s="328" t="s">
        <v>284</v>
      </c>
      <c r="N3" s="328" t="s">
        <v>283</v>
      </c>
      <c r="O3" s="328" t="s">
        <v>274</v>
      </c>
      <c r="P3" s="328" t="s">
        <v>284</v>
      </c>
      <c r="Q3" s="328" t="s">
        <v>283</v>
      </c>
      <c r="R3" s="328" t="s">
        <v>274</v>
      </c>
      <c r="S3" s="328" t="s">
        <v>284</v>
      </c>
      <c r="T3" s="328" t="s">
        <v>283</v>
      </c>
      <c r="U3" s="328" t="s">
        <v>274</v>
      </c>
      <c r="V3" s="328" t="s">
        <v>284</v>
      </c>
      <c r="W3" s="328" t="s">
        <v>283</v>
      </c>
    </row>
    <row r="4" spans="1:24" ht="16.3">
      <c r="A4" s="324">
        <v>1</v>
      </c>
      <c r="B4" s="325" t="s">
        <v>192</v>
      </c>
      <c r="C4" s="324">
        <v>7</v>
      </c>
      <c r="D4" s="324">
        <v>2</v>
      </c>
      <c r="E4" s="326" t="s">
        <v>202</v>
      </c>
      <c r="F4" s="322">
        <v>93</v>
      </c>
      <c r="G4" s="322">
        <v>9</v>
      </c>
      <c r="H4" s="322">
        <v>84</v>
      </c>
      <c r="I4" s="322">
        <v>93</v>
      </c>
      <c r="J4" s="322">
        <v>9</v>
      </c>
      <c r="K4" s="322">
        <v>84</v>
      </c>
      <c r="L4" s="321" t="s">
        <v>275</v>
      </c>
      <c r="M4" s="321" t="s">
        <v>275</v>
      </c>
      <c r="N4" s="321" t="s">
        <v>275</v>
      </c>
      <c r="O4" s="322">
        <v>88</v>
      </c>
      <c r="P4" s="322">
        <v>8</v>
      </c>
      <c r="Q4" s="322">
        <v>80</v>
      </c>
      <c r="R4" s="321" t="s">
        <v>275</v>
      </c>
      <c r="S4" s="321" t="s">
        <v>275</v>
      </c>
      <c r="T4" s="321" t="s">
        <v>275</v>
      </c>
      <c r="U4" s="321" t="s">
        <v>275</v>
      </c>
      <c r="V4" s="321" t="s">
        <v>275</v>
      </c>
      <c r="W4" s="321" t="s">
        <v>275</v>
      </c>
    </row>
    <row r="5" spans="1:24" ht="16.3">
      <c r="A5" s="322">
        <v>2</v>
      </c>
      <c r="B5" s="321" t="s">
        <v>192</v>
      </c>
      <c r="C5" s="322">
        <v>7</v>
      </c>
      <c r="D5" s="322">
        <v>2</v>
      </c>
      <c r="E5" s="323" t="s">
        <v>203</v>
      </c>
      <c r="F5" s="322">
        <v>40</v>
      </c>
      <c r="G5" s="322">
        <v>4</v>
      </c>
      <c r="H5" s="322">
        <v>36</v>
      </c>
      <c r="I5" s="322">
        <v>51</v>
      </c>
      <c r="J5" s="322">
        <v>5</v>
      </c>
      <c r="K5" s="322">
        <v>46</v>
      </c>
      <c r="L5" s="321" t="s">
        <v>275</v>
      </c>
      <c r="M5" s="321" t="s">
        <v>275</v>
      </c>
      <c r="N5" s="321" t="s">
        <v>275</v>
      </c>
      <c r="O5" s="322">
        <v>50</v>
      </c>
      <c r="P5" s="322">
        <v>6</v>
      </c>
      <c r="Q5" s="322">
        <v>44</v>
      </c>
      <c r="R5" s="321" t="s">
        <v>275</v>
      </c>
      <c r="S5" s="321" t="s">
        <v>275</v>
      </c>
      <c r="T5" s="321" t="s">
        <v>275</v>
      </c>
      <c r="U5" s="321" t="s">
        <v>275</v>
      </c>
      <c r="V5" s="321" t="s">
        <v>275</v>
      </c>
      <c r="W5" s="321" t="s">
        <v>275</v>
      </c>
    </row>
    <row r="6" spans="1:24" ht="16.3">
      <c r="A6" s="322">
        <v>3</v>
      </c>
      <c r="B6" s="321" t="s">
        <v>193</v>
      </c>
      <c r="C6" s="322">
        <v>7</v>
      </c>
      <c r="D6" s="322">
        <v>2</v>
      </c>
      <c r="E6" s="323" t="s">
        <v>202</v>
      </c>
      <c r="F6" s="322">
        <v>133</v>
      </c>
      <c r="G6" s="322">
        <v>13</v>
      </c>
      <c r="H6" s="322">
        <v>120</v>
      </c>
      <c r="I6" s="322">
        <v>111</v>
      </c>
      <c r="J6" s="322">
        <v>11</v>
      </c>
      <c r="K6" s="322">
        <v>100</v>
      </c>
      <c r="L6" s="321" t="s">
        <v>275</v>
      </c>
      <c r="M6" s="321" t="s">
        <v>275</v>
      </c>
      <c r="N6" s="321" t="s">
        <v>275</v>
      </c>
      <c r="O6" s="322">
        <v>130</v>
      </c>
      <c r="P6" s="322">
        <v>12</v>
      </c>
      <c r="Q6" s="322">
        <v>118</v>
      </c>
      <c r="R6" s="321" t="s">
        <v>275</v>
      </c>
      <c r="S6" s="321" t="s">
        <v>275</v>
      </c>
      <c r="T6" s="321" t="s">
        <v>275</v>
      </c>
      <c r="U6" s="321" t="s">
        <v>275</v>
      </c>
      <c r="V6" s="321" t="s">
        <v>275</v>
      </c>
      <c r="W6" s="321" t="s">
        <v>275</v>
      </c>
    </row>
    <row r="7" spans="1:24" ht="16.3">
      <c r="A7" s="322">
        <v>4</v>
      </c>
      <c r="B7" s="321" t="s">
        <v>193</v>
      </c>
      <c r="C7" s="322">
        <v>7</v>
      </c>
      <c r="D7" s="322">
        <v>2</v>
      </c>
      <c r="E7" s="323" t="s">
        <v>203</v>
      </c>
      <c r="F7" s="322">
        <v>44</v>
      </c>
      <c r="G7" s="322">
        <v>4</v>
      </c>
      <c r="H7" s="322">
        <v>40</v>
      </c>
      <c r="I7" s="322">
        <v>40</v>
      </c>
      <c r="J7" s="322">
        <v>4</v>
      </c>
      <c r="K7" s="322">
        <v>36</v>
      </c>
      <c r="L7" s="321" t="s">
        <v>275</v>
      </c>
      <c r="M7" s="321" t="s">
        <v>275</v>
      </c>
      <c r="N7" s="321" t="s">
        <v>275</v>
      </c>
      <c r="O7" s="322">
        <v>39</v>
      </c>
      <c r="P7" s="322">
        <v>4</v>
      </c>
      <c r="Q7" s="322">
        <v>35</v>
      </c>
      <c r="R7" s="321" t="s">
        <v>275</v>
      </c>
      <c r="S7" s="321" t="s">
        <v>275</v>
      </c>
      <c r="T7" s="321" t="s">
        <v>275</v>
      </c>
      <c r="U7" s="321" t="s">
        <v>275</v>
      </c>
      <c r="V7" s="321" t="s">
        <v>275</v>
      </c>
      <c r="W7" s="321" t="s">
        <v>275</v>
      </c>
    </row>
    <row r="8" spans="1:24" ht="16.3">
      <c r="A8" s="322">
        <v>5</v>
      </c>
      <c r="B8" s="321" t="s">
        <v>194</v>
      </c>
      <c r="C8" s="322">
        <v>7</v>
      </c>
      <c r="D8" s="322">
        <v>2</v>
      </c>
      <c r="E8" s="323" t="s">
        <v>202</v>
      </c>
      <c r="F8" s="322">
        <v>100</v>
      </c>
      <c r="G8" s="322">
        <v>10</v>
      </c>
      <c r="H8" s="322">
        <v>90</v>
      </c>
      <c r="I8" s="322">
        <v>88</v>
      </c>
      <c r="J8" s="322">
        <v>8</v>
      </c>
      <c r="K8" s="322">
        <v>80</v>
      </c>
      <c r="L8" s="321" t="s">
        <v>275</v>
      </c>
      <c r="M8" s="321" t="s">
        <v>275</v>
      </c>
      <c r="N8" s="321" t="s">
        <v>275</v>
      </c>
      <c r="O8" s="322">
        <v>137</v>
      </c>
      <c r="P8" s="322">
        <v>12</v>
      </c>
      <c r="Q8" s="322">
        <v>125</v>
      </c>
      <c r="R8" s="321" t="s">
        <v>275</v>
      </c>
      <c r="S8" s="321" t="s">
        <v>275</v>
      </c>
      <c r="T8" s="321" t="s">
        <v>275</v>
      </c>
      <c r="U8" s="321" t="s">
        <v>275</v>
      </c>
      <c r="V8" s="321" t="s">
        <v>275</v>
      </c>
      <c r="W8" s="321" t="s">
        <v>275</v>
      </c>
    </row>
    <row r="9" spans="1:24" ht="16.3">
      <c r="A9" s="322">
        <v>6</v>
      </c>
      <c r="B9" s="321" t="s">
        <v>194</v>
      </c>
      <c r="C9" s="322">
        <v>7</v>
      </c>
      <c r="D9" s="322">
        <v>2</v>
      </c>
      <c r="E9" s="323" t="s">
        <v>203</v>
      </c>
      <c r="F9" s="322">
        <v>40</v>
      </c>
      <c r="G9" s="322">
        <v>4</v>
      </c>
      <c r="H9" s="322">
        <v>36</v>
      </c>
      <c r="I9" s="322">
        <v>36</v>
      </c>
      <c r="J9" s="322">
        <v>3</v>
      </c>
      <c r="K9" s="322">
        <v>33</v>
      </c>
      <c r="L9" s="321" t="s">
        <v>275</v>
      </c>
      <c r="M9" s="321" t="s">
        <v>275</v>
      </c>
      <c r="N9" s="321" t="s">
        <v>275</v>
      </c>
      <c r="O9" s="322">
        <v>52</v>
      </c>
      <c r="P9" s="322">
        <v>5</v>
      </c>
      <c r="Q9" s="322">
        <v>47</v>
      </c>
      <c r="R9" s="321" t="s">
        <v>275</v>
      </c>
      <c r="S9" s="321" t="s">
        <v>275</v>
      </c>
      <c r="T9" s="321" t="s">
        <v>275</v>
      </c>
      <c r="U9" s="321" t="s">
        <v>275</v>
      </c>
      <c r="V9" s="321" t="s">
        <v>275</v>
      </c>
      <c r="W9" s="321" t="s">
        <v>275</v>
      </c>
    </row>
    <row r="10" spans="1:24" ht="16.3">
      <c r="A10" s="322">
        <v>7</v>
      </c>
      <c r="B10" s="321" t="s">
        <v>195</v>
      </c>
      <c r="C10" s="322">
        <v>7</v>
      </c>
      <c r="D10" s="322">
        <v>2</v>
      </c>
      <c r="E10" s="323" t="s">
        <v>202</v>
      </c>
      <c r="F10" s="322">
        <v>100</v>
      </c>
      <c r="G10" s="322">
        <v>10</v>
      </c>
      <c r="H10" s="322">
        <v>90</v>
      </c>
      <c r="I10" s="322">
        <v>96</v>
      </c>
      <c r="J10" s="322">
        <v>9</v>
      </c>
      <c r="K10" s="322">
        <v>87</v>
      </c>
      <c r="L10" s="321" t="s">
        <v>275</v>
      </c>
      <c r="M10" s="321" t="s">
        <v>275</v>
      </c>
      <c r="N10" s="321" t="s">
        <v>275</v>
      </c>
      <c r="O10" s="322">
        <v>95</v>
      </c>
      <c r="P10" s="322">
        <v>9</v>
      </c>
      <c r="Q10" s="322">
        <v>86</v>
      </c>
      <c r="R10" s="321" t="s">
        <v>275</v>
      </c>
      <c r="S10" s="321" t="s">
        <v>275</v>
      </c>
      <c r="T10" s="321" t="s">
        <v>275</v>
      </c>
      <c r="U10" s="321" t="s">
        <v>275</v>
      </c>
      <c r="V10" s="321" t="s">
        <v>275</v>
      </c>
      <c r="W10" s="321" t="s">
        <v>275</v>
      </c>
    </row>
    <row r="11" spans="1:24" ht="16.3">
      <c r="A11" s="322">
        <v>8</v>
      </c>
      <c r="B11" s="321" t="s">
        <v>195</v>
      </c>
      <c r="C11" s="322">
        <v>7</v>
      </c>
      <c r="D11" s="322">
        <v>2</v>
      </c>
      <c r="E11" s="323" t="s">
        <v>203</v>
      </c>
      <c r="F11" s="322">
        <v>34</v>
      </c>
      <c r="G11" s="322">
        <v>3</v>
      </c>
      <c r="H11" s="322">
        <v>31</v>
      </c>
      <c r="I11" s="322">
        <v>31</v>
      </c>
      <c r="J11" s="322">
        <v>3</v>
      </c>
      <c r="K11" s="322">
        <v>28</v>
      </c>
      <c r="L11" s="321" t="s">
        <v>275</v>
      </c>
      <c r="M11" s="321" t="s">
        <v>275</v>
      </c>
      <c r="N11" s="321" t="s">
        <v>275</v>
      </c>
      <c r="O11" s="322">
        <v>32</v>
      </c>
      <c r="P11" s="322">
        <v>3</v>
      </c>
      <c r="Q11" s="322">
        <v>29</v>
      </c>
      <c r="R11" s="321" t="s">
        <v>275</v>
      </c>
      <c r="S11" s="321" t="s">
        <v>275</v>
      </c>
      <c r="T11" s="321" t="s">
        <v>275</v>
      </c>
      <c r="U11" s="321" t="s">
        <v>275</v>
      </c>
      <c r="V11" s="321" t="s">
        <v>275</v>
      </c>
      <c r="W11" s="321" t="s">
        <v>275</v>
      </c>
    </row>
    <row r="12" spans="1:24" ht="16.3">
      <c r="A12" s="322">
        <v>9</v>
      </c>
      <c r="B12" s="321" t="s">
        <v>196</v>
      </c>
      <c r="C12" s="322">
        <v>7</v>
      </c>
      <c r="D12" s="322">
        <v>2</v>
      </c>
      <c r="E12" s="323" t="s">
        <v>202</v>
      </c>
      <c r="F12" s="322">
        <v>95</v>
      </c>
      <c r="G12" s="322">
        <v>9</v>
      </c>
      <c r="H12" s="322">
        <v>86</v>
      </c>
      <c r="I12" s="322">
        <v>106</v>
      </c>
      <c r="J12" s="322">
        <v>10</v>
      </c>
      <c r="K12" s="322">
        <v>96</v>
      </c>
      <c r="L12" s="321" t="s">
        <v>275</v>
      </c>
      <c r="M12" s="321" t="s">
        <v>275</v>
      </c>
      <c r="N12" s="321" t="s">
        <v>275</v>
      </c>
      <c r="O12" s="322">
        <v>98</v>
      </c>
      <c r="P12" s="322">
        <v>9</v>
      </c>
      <c r="Q12" s="322">
        <v>89</v>
      </c>
      <c r="R12" s="321" t="s">
        <v>275</v>
      </c>
      <c r="S12" s="321" t="s">
        <v>275</v>
      </c>
      <c r="T12" s="321" t="s">
        <v>275</v>
      </c>
      <c r="U12" s="322">
        <v>134</v>
      </c>
      <c r="V12" s="322">
        <v>8</v>
      </c>
      <c r="W12" s="322">
        <v>126</v>
      </c>
    </row>
    <row r="13" spans="1:24" ht="16.3">
      <c r="A13" s="322">
        <v>10</v>
      </c>
      <c r="B13" s="321" t="s">
        <v>197</v>
      </c>
      <c r="C13" s="322">
        <v>7</v>
      </c>
      <c r="D13" s="322">
        <v>2</v>
      </c>
      <c r="E13" s="323" t="s">
        <v>202</v>
      </c>
      <c r="F13" s="322">
        <v>67</v>
      </c>
      <c r="G13" s="322">
        <v>6</v>
      </c>
      <c r="H13" s="322">
        <v>61</v>
      </c>
      <c r="I13" s="322">
        <v>53</v>
      </c>
      <c r="J13" s="322">
        <v>5</v>
      </c>
      <c r="K13" s="322">
        <v>48</v>
      </c>
      <c r="L13" s="321" t="s">
        <v>275</v>
      </c>
      <c r="M13" s="321" t="s">
        <v>275</v>
      </c>
      <c r="N13" s="321" t="s">
        <v>275</v>
      </c>
      <c r="O13" s="322">
        <v>58</v>
      </c>
      <c r="P13" s="322">
        <v>6</v>
      </c>
      <c r="Q13" s="322">
        <v>52</v>
      </c>
      <c r="R13" s="321" t="s">
        <v>275</v>
      </c>
      <c r="S13" s="321" t="s">
        <v>275</v>
      </c>
      <c r="T13" s="321" t="s">
        <v>275</v>
      </c>
      <c r="U13" s="321" t="s">
        <v>275</v>
      </c>
      <c r="V13" s="321" t="s">
        <v>275</v>
      </c>
      <c r="W13" s="321" t="s">
        <v>275</v>
      </c>
    </row>
    <row r="14" spans="1:24" ht="16.3">
      <c r="A14" s="322">
        <v>11</v>
      </c>
      <c r="B14" s="321" t="s">
        <v>198</v>
      </c>
      <c r="C14" s="322">
        <v>7</v>
      </c>
      <c r="D14" s="322">
        <v>2</v>
      </c>
      <c r="E14" s="323" t="s">
        <v>202</v>
      </c>
      <c r="F14" s="322">
        <v>116</v>
      </c>
      <c r="G14" s="322">
        <v>11</v>
      </c>
      <c r="H14" s="322">
        <v>105</v>
      </c>
      <c r="I14" s="322">
        <v>117</v>
      </c>
      <c r="J14" s="322">
        <v>11</v>
      </c>
      <c r="K14" s="322">
        <v>106</v>
      </c>
      <c r="L14" s="321" t="s">
        <v>275</v>
      </c>
      <c r="M14" s="321" t="s">
        <v>275</v>
      </c>
      <c r="N14" s="321" t="s">
        <v>275</v>
      </c>
      <c r="O14" s="321" t="s">
        <v>275</v>
      </c>
      <c r="P14" s="321" t="s">
        <v>275</v>
      </c>
      <c r="Q14" s="321" t="s">
        <v>275</v>
      </c>
      <c r="R14" s="322">
        <v>135</v>
      </c>
      <c r="S14" s="322">
        <v>8</v>
      </c>
      <c r="T14" s="322">
        <v>127</v>
      </c>
      <c r="U14" s="322">
        <v>139</v>
      </c>
      <c r="V14" s="322">
        <v>8</v>
      </c>
      <c r="W14" s="322">
        <v>131</v>
      </c>
    </row>
    <row r="15" spans="1:24" ht="16.3">
      <c r="A15" s="322">
        <v>12</v>
      </c>
      <c r="B15" s="321" t="s">
        <v>199</v>
      </c>
      <c r="C15" s="322">
        <v>7</v>
      </c>
      <c r="D15" s="322">
        <v>2</v>
      </c>
      <c r="E15" s="323" t="s">
        <v>202</v>
      </c>
      <c r="F15" s="322">
        <v>74</v>
      </c>
      <c r="G15" s="322">
        <v>7</v>
      </c>
      <c r="H15" s="322">
        <v>67</v>
      </c>
      <c r="I15" s="321" t="s">
        <v>275</v>
      </c>
      <c r="J15" s="321" t="s">
        <v>275</v>
      </c>
      <c r="K15" s="321" t="s">
        <v>275</v>
      </c>
      <c r="L15" s="322">
        <v>84</v>
      </c>
      <c r="M15" s="322">
        <v>8</v>
      </c>
      <c r="N15" s="322">
        <v>76</v>
      </c>
      <c r="O15" s="322">
        <v>81</v>
      </c>
      <c r="P15" s="322">
        <v>8</v>
      </c>
      <c r="Q15" s="322">
        <v>73</v>
      </c>
      <c r="R15" s="321" t="s">
        <v>275</v>
      </c>
      <c r="S15" s="321" t="s">
        <v>275</v>
      </c>
      <c r="T15" s="321" t="s">
        <v>275</v>
      </c>
      <c r="U15" s="321" t="s">
        <v>275</v>
      </c>
      <c r="V15" s="321" t="s">
        <v>275</v>
      </c>
      <c r="W15" s="321" t="s">
        <v>275</v>
      </c>
    </row>
    <row r="16" spans="1:24" ht="16.3">
      <c r="A16" s="322">
        <v>13</v>
      </c>
      <c r="B16" s="321" t="s">
        <v>199</v>
      </c>
      <c r="C16" s="322">
        <v>7</v>
      </c>
      <c r="D16" s="322">
        <v>2</v>
      </c>
      <c r="E16" s="323" t="s">
        <v>203</v>
      </c>
      <c r="F16" s="322">
        <v>35</v>
      </c>
      <c r="G16" s="322">
        <v>3</v>
      </c>
      <c r="H16" s="322">
        <v>32</v>
      </c>
      <c r="I16" s="321" t="s">
        <v>275</v>
      </c>
      <c r="J16" s="321" t="s">
        <v>275</v>
      </c>
      <c r="K16" s="321" t="s">
        <v>275</v>
      </c>
      <c r="L16" s="322">
        <v>35</v>
      </c>
      <c r="M16" s="322">
        <v>3</v>
      </c>
      <c r="N16" s="322">
        <v>32</v>
      </c>
      <c r="O16" s="322">
        <v>30</v>
      </c>
      <c r="P16" s="322">
        <v>3</v>
      </c>
      <c r="Q16" s="322">
        <v>27</v>
      </c>
      <c r="R16" s="321" t="s">
        <v>275</v>
      </c>
      <c r="S16" s="321" t="s">
        <v>275</v>
      </c>
      <c r="T16" s="321" t="s">
        <v>275</v>
      </c>
      <c r="U16" s="321" t="s">
        <v>275</v>
      </c>
      <c r="V16" s="321" t="s">
        <v>275</v>
      </c>
      <c r="W16" s="321" t="s">
        <v>275</v>
      </c>
    </row>
    <row r="17" spans="1:23" ht="16.3">
      <c r="A17" s="322">
        <v>14</v>
      </c>
      <c r="B17" s="321" t="s">
        <v>200</v>
      </c>
      <c r="C17" s="322">
        <v>7</v>
      </c>
      <c r="D17" s="322">
        <v>1</v>
      </c>
      <c r="E17" s="323" t="s">
        <v>202</v>
      </c>
      <c r="F17" s="321" t="s">
        <v>275</v>
      </c>
      <c r="G17" s="321" t="s">
        <v>275</v>
      </c>
      <c r="H17" s="321" t="s">
        <v>275</v>
      </c>
      <c r="I17" s="321" t="s">
        <v>275</v>
      </c>
      <c r="J17" s="321" t="s">
        <v>275</v>
      </c>
      <c r="K17" s="321" t="s">
        <v>275</v>
      </c>
      <c r="L17" s="321" t="s">
        <v>275</v>
      </c>
      <c r="M17" s="321" t="s">
        <v>275</v>
      </c>
      <c r="N17" s="321" t="s">
        <v>275</v>
      </c>
      <c r="O17" s="321" t="s">
        <v>275</v>
      </c>
      <c r="P17" s="321" t="s">
        <v>275</v>
      </c>
      <c r="Q17" s="321" t="s">
        <v>275</v>
      </c>
      <c r="R17" s="322">
        <v>90</v>
      </c>
      <c r="S17" s="322">
        <v>5</v>
      </c>
      <c r="T17" s="322">
        <v>85</v>
      </c>
      <c r="U17" s="321" t="s">
        <v>275</v>
      </c>
      <c r="V17" s="321" t="s">
        <v>275</v>
      </c>
      <c r="W17" s="321" t="s">
        <v>275</v>
      </c>
    </row>
    <row r="18" spans="1:23" ht="16.3">
      <c r="A18" s="322">
        <v>15</v>
      </c>
      <c r="B18" s="321" t="s">
        <v>200</v>
      </c>
      <c r="C18" s="322">
        <v>7</v>
      </c>
      <c r="D18" s="322">
        <v>1</v>
      </c>
      <c r="E18" s="323" t="s">
        <v>203</v>
      </c>
      <c r="F18" s="321" t="s">
        <v>275</v>
      </c>
      <c r="G18" s="321" t="s">
        <v>275</v>
      </c>
      <c r="H18" s="321" t="s">
        <v>275</v>
      </c>
      <c r="I18" s="321" t="s">
        <v>275</v>
      </c>
      <c r="J18" s="321" t="s">
        <v>275</v>
      </c>
      <c r="K18" s="321" t="s">
        <v>275</v>
      </c>
      <c r="L18" s="321" t="s">
        <v>275</v>
      </c>
      <c r="M18" s="321" t="s">
        <v>275</v>
      </c>
      <c r="N18" s="321" t="s">
        <v>275</v>
      </c>
      <c r="O18" s="321" t="s">
        <v>275</v>
      </c>
      <c r="P18" s="321" t="s">
        <v>275</v>
      </c>
      <c r="Q18" s="321" t="s">
        <v>275</v>
      </c>
      <c r="R18" s="321" t="s">
        <v>275</v>
      </c>
      <c r="S18" s="321" t="s">
        <v>275</v>
      </c>
      <c r="T18" s="321" t="s">
        <v>275</v>
      </c>
      <c r="U18" s="321" t="s">
        <v>275</v>
      </c>
      <c r="V18" s="321" t="s">
        <v>275</v>
      </c>
      <c r="W18" s="321" t="s">
        <v>275</v>
      </c>
    </row>
    <row r="19" spans="1:23" ht="16.3">
      <c r="A19" s="322">
        <v>16</v>
      </c>
      <c r="B19" s="321" t="s">
        <v>200</v>
      </c>
      <c r="C19" s="322">
        <v>7</v>
      </c>
      <c r="D19" s="322">
        <v>2</v>
      </c>
      <c r="E19" s="323" t="s">
        <v>202</v>
      </c>
      <c r="F19" s="322">
        <v>127</v>
      </c>
      <c r="G19" s="322">
        <v>12</v>
      </c>
      <c r="H19" s="322">
        <v>115</v>
      </c>
      <c r="I19" s="322">
        <v>136</v>
      </c>
      <c r="J19" s="322">
        <v>13</v>
      </c>
      <c r="K19" s="322">
        <v>123</v>
      </c>
      <c r="L19" s="321" t="s">
        <v>275</v>
      </c>
      <c r="M19" s="321" t="s">
        <v>275</v>
      </c>
      <c r="N19" s="321" t="s">
        <v>275</v>
      </c>
      <c r="O19" s="322">
        <v>113</v>
      </c>
      <c r="P19" s="322">
        <v>11</v>
      </c>
      <c r="Q19" s="322">
        <v>102</v>
      </c>
      <c r="R19" s="322">
        <v>78</v>
      </c>
      <c r="S19" s="322">
        <v>5</v>
      </c>
      <c r="T19" s="322">
        <v>73</v>
      </c>
      <c r="U19" s="321" t="s">
        <v>275</v>
      </c>
      <c r="V19" s="321" t="s">
        <v>275</v>
      </c>
      <c r="W19" s="321" t="s">
        <v>275</v>
      </c>
    </row>
    <row r="20" spans="1:23" ht="16.3">
      <c r="A20" s="322">
        <v>17</v>
      </c>
      <c r="B20" s="321" t="s">
        <v>200</v>
      </c>
      <c r="C20" s="322">
        <v>7</v>
      </c>
      <c r="D20" s="322">
        <v>2</v>
      </c>
      <c r="E20" s="323" t="s">
        <v>203</v>
      </c>
      <c r="F20" s="322">
        <v>33</v>
      </c>
      <c r="G20" s="322">
        <v>3</v>
      </c>
      <c r="H20" s="322">
        <v>30</v>
      </c>
      <c r="I20" s="322">
        <v>55</v>
      </c>
      <c r="J20" s="322">
        <v>5</v>
      </c>
      <c r="K20" s="322">
        <v>50</v>
      </c>
      <c r="L20" s="321" t="s">
        <v>275</v>
      </c>
      <c r="M20" s="321" t="s">
        <v>275</v>
      </c>
      <c r="N20" s="321" t="s">
        <v>275</v>
      </c>
      <c r="O20" s="322">
        <v>38</v>
      </c>
      <c r="P20" s="322">
        <v>3</v>
      </c>
      <c r="Q20" s="322">
        <v>35</v>
      </c>
      <c r="R20" s="322">
        <v>38</v>
      </c>
      <c r="S20" s="322">
        <v>6</v>
      </c>
      <c r="T20" s="322">
        <v>32</v>
      </c>
      <c r="U20" s="321" t="s">
        <v>275</v>
      </c>
      <c r="V20" s="321" t="s">
        <v>275</v>
      </c>
      <c r="W20" s="321" t="s">
        <v>275</v>
      </c>
    </row>
    <row r="21" spans="1:23" ht="16.3">
      <c r="A21" s="322">
        <v>18</v>
      </c>
      <c r="B21" s="321" t="s">
        <v>192</v>
      </c>
      <c r="C21" s="322">
        <v>8</v>
      </c>
      <c r="D21" s="322">
        <v>4</v>
      </c>
      <c r="E21" s="323" t="s">
        <v>202</v>
      </c>
      <c r="F21" s="322">
        <v>100</v>
      </c>
      <c r="G21" s="322">
        <v>10</v>
      </c>
      <c r="H21" s="322">
        <v>90</v>
      </c>
      <c r="I21" s="322">
        <v>102</v>
      </c>
      <c r="J21" s="322">
        <v>10</v>
      </c>
      <c r="K21" s="322">
        <v>92</v>
      </c>
      <c r="L21" s="321" t="s">
        <v>275</v>
      </c>
      <c r="M21" s="321" t="s">
        <v>275</v>
      </c>
      <c r="N21" s="321" t="s">
        <v>275</v>
      </c>
      <c r="O21" s="322">
        <v>102</v>
      </c>
      <c r="P21" s="322">
        <v>9</v>
      </c>
      <c r="Q21" s="322">
        <v>93</v>
      </c>
      <c r="R21" s="321" t="s">
        <v>275</v>
      </c>
      <c r="S21" s="321" t="s">
        <v>275</v>
      </c>
      <c r="T21" s="321" t="s">
        <v>275</v>
      </c>
      <c r="U21" s="321" t="s">
        <v>275</v>
      </c>
      <c r="V21" s="321" t="s">
        <v>275</v>
      </c>
      <c r="W21" s="321" t="s">
        <v>275</v>
      </c>
    </row>
    <row r="22" spans="1:23" ht="16.3">
      <c r="A22" s="322">
        <v>19</v>
      </c>
      <c r="B22" s="321" t="s">
        <v>192</v>
      </c>
      <c r="C22" s="322">
        <v>8</v>
      </c>
      <c r="D22" s="322">
        <v>4</v>
      </c>
      <c r="E22" s="323" t="s">
        <v>203</v>
      </c>
      <c r="F22" s="322">
        <v>40</v>
      </c>
      <c r="G22" s="322">
        <v>4</v>
      </c>
      <c r="H22" s="322">
        <v>36</v>
      </c>
      <c r="I22" s="322">
        <v>56</v>
      </c>
      <c r="J22" s="322">
        <v>5</v>
      </c>
      <c r="K22" s="322">
        <v>51</v>
      </c>
      <c r="L22" s="321" t="s">
        <v>275</v>
      </c>
      <c r="M22" s="321" t="s">
        <v>275</v>
      </c>
      <c r="N22" s="321" t="s">
        <v>275</v>
      </c>
      <c r="O22" s="322">
        <v>53</v>
      </c>
      <c r="P22" s="322">
        <v>5</v>
      </c>
      <c r="Q22" s="322">
        <v>48</v>
      </c>
      <c r="R22" s="321" t="s">
        <v>275</v>
      </c>
      <c r="S22" s="321" t="s">
        <v>275</v>
      </c>
      <c r="T22" s="321" t="s">
        <v>275</v>
      </c>
      <c r="U22" s="321" t="s">
        <v>275</v>
      </c>
      <c r="V22" s="321" t="s">
        <v>275</v>
      </c>
      <c r="W22" s="321" t="s">
        <v>275</v>
      </c>
    </row>
    <row r="23" spans="1:23" ht="16.3">
      <c r="A23" s="322">
        <v>20</v>
      </c>
      <c r="B23" s="321" t="s">
        <v>193</v>
      </c>
      <c r="C23" s="322">
        <v>8</v>
      </c>
      <c r="D23" s="322">
        <v>4</v>
      </c>
      <c r="E23" s="323" t="s">
        <v>202</v>
      </c>
      <c r="F23" s="322">
        <v>119</v>
      </c>
      <c r="G23" s="322">
        <v>11</v>
      </c>
      <c r="H23" s="322">
        <v>108</v>
      </c>
      <c r="I23" s="322">
        <v>114</v>
      </c>
      <c r="J23" s="322">
        <v>11</v>
      </c>
      <c r="K23" s="322">
        <v>103</v>
      </c>
      <c r="L23" s="321" t="s">
        <v>275</v>
      </c>
      <c r="M23" s="321" t="s">
        <v>275</v>
      </c>
      <c r="N23" s="321" t="s">
        <v>275</v>
      </c>
      <c r="O23" s="322">
        <v>114</v>
      </c>
      <c r="P23" s="322">
        <v>11</v>
      </c>
      <c r="Q23" s="322">
        <v>103</v>
      </c>
      <c r="R23" s="321" t="s">
        <v>275</v>
      </c>
      <c r="S23" s="321" t="s">
        <v>275</v>
      </c>
      <c r="T23" s="321" t="s">
        <v>275</v>
      </c>
      <c r="U23" s="321" t="s">
        <v>275</v>
      </c>
      <c r="V23" s="321" t="s">
        <v>275</v>
      </c>
      <c r="W23" s="321" t="s">
        <v>275</v>
      </c>
    </row>
    <row r="24" spans="1:23" ht="16.3">
      <c r="A24" s="322">
        <v>21</v>
      </c>
      <c r="B24" s="321" t="s">
        <v>193</v>
      </c>
      <c r="C24" s="322">
        <v>8</v>
      </c>
      <c r="D24" s="322">
        <v>4</v>
      </c>
      <c r="E24" s="323" t="s">
        <v>203</v>
      </c>
      <c r="F24" s="322">
        <v>39</v>
      </c>
      <c r="G24" s="322">
        <v>4</v>
      </c>
      <c r="H24" s="322">
        <v>35</v>
      </c>
      <c r="I24" s="322">
        <v>35</v>
      </c>
      <c r="J24" s="322">
        <v>3</v>
      </c>
      <c r="K24" s="322">
        <v>32</v>
      </c>
      <c r="L24" s="321" t="s">
        <v>275</v>
      </c>
      <c r="M24" s="321" t="s">
        <v>275</v>
      </c>
      <c r="N24" s="321" t="s">
        <v>275</v>
      </c>
      <c r="O24" s="322">
        <v>41</v>
      </c>
      <c r="P24" s="322">
        <v>4</v>
      </c>
      <c r="Q24" s="322">
        <v>37</v>
      </c>
      <c r="R24" s="321" t="s">
        <v>275</v>
      </c>
      <c r="S24" s="321" t="s">
        <v>275</v>
      </c>
      <c r="T24" s="321" t="s">
        <v>275</v>
      </c>
      <c r="U24" s="321" t="s">
        <v>275</v>
      </c>
      <c r="V24" s="321" t="s">
        <v>275</v>
      </c>
      <c r="W24" s="321" t="s">
        <v>275</v>
      </c>
    </row>
    <row r="25" spans="1:23" ht="16.3">
      <c r="A25" s="322">
        <v>22</v>
      </c>
      <c r="B25" s="321" t="s">
        <v>194</v>
      </c>
      <c r="C25" s="322">
        <v>8</v>
      </c>
      <c r="D25" s="322">
        <v>4</v>
      </c>
      <c r="E25" s="323" t="s">
        <v>202</v>
      </c>
      <c r="F25" s="322">
        <v>95</v>
      </c>
      <c r="G25" s="322">
        <v>9</v>
      </c>
      <c r="H25" s="322">
        <v>86</v>
      </c>
      <c r="I25" s="322">
        <v>95</v>
      </c>
      <c r="J25" s="322">
        <v>9</v>
      </c>
      <c r="K25" s="322">
        <v>86</v>
      </c>
      <c r="L25" s="321" t="s">
        <v>275</v>
      </c>
      <c r="M25" s="321" t="s">
        <v>275</v>
      </c>
      <c r="N25" s="321" t="s">
        <v>275</v>
      </c>
      <c r="O25" s="322">
        <v>135</v>
      </c>
      <c r="P25" s="322">
        <v>12</v>
      </c>
      <c r="Q25" s="322">
        <v>123</v>
      </c>
      <c r="R25" s="321" t="s">
        <v>275</v>
      </c>
      <c r="S25" s="321" t="s">
        <v>275</v>
      </c>
      <c r="T25" s="321" t="s">
        <v>275</v>
      </c>
      <c r="U25" s="321" t="s">
        <v>275</v>
      </c>
      <c r="V25" s="321" t="s">
        <v>275</v>
      </c>
      <c r="W25" s="321" t="s">
        <v>275</v>
      </c>
    </row>
    <row r="26" spans="1:23" ht="16.3">
      <c r="A26" s="322">
        <v>23</v>
      </c>
      <c r="B26" s="321" t="s">
        <v>194</v>
      </c>
      <c r="C26" s="322">
        <v>8</v>
      </c>
      <c r="D26" s="322">
        <v>4</v>
      </c>
      <c r="E26" s="323" t="s">
        <v>203</v>
      </c>
      <c r="F26" s="322">
        <v>37</v>
      </c>
      <c r="G26" s="322">
        <v>4</v>
      </c>
      <c r="H26" s="322">
        <v>33</v>
      </c>
      <c r="I26" s="322">
        <v>38</v>
      </c>
      <c r="J26" s="322">
        <v>4</v>
      </c>
      <c r="K26" s="322">
        <v>34</v>
      </c>
      <c r="L26" s="321" t="s">
        <v>275</v>
      </c>
      <c r="M26" s="321" t="s">
        <v>275</v>
      </c>
      <c r="N26" s="321" t="s">
        <v>275</v>
      </c>
      <c r="O26" s="322">
        <v>50</v>
      </c>
      <c r="P26" s="322">
        <v>4</v>
      </c>
      <c r="Q26" s="322">
        <v>46</v>
      </c>
      <c r="R26" s="321" t="s">
        <v>275</v>
      </c>
      <c r="S26" s="321" t="s">
        <v>275</v>
      </c>
      <c r="T26" s="321" t="s">
        <v>275</v>
      </c>
      <c r="U26" s="321" t="s">
        <v>275</v>
      </c>
      <c r="V26" s="321" t="s">
        <v>275</v>
      </c>
      <c r="W26" s="321" t="s">
        <v>275</v>
      </c>
    </row>
    <row r="27" spans="1:23" ht="16.3">
      <c r="A27" s="322">
        <v>24</v>
      </c>
      <c r="B27" s="321" t="s">
        <v>195</v>
      </c>
      <c r="C27" s="322">
        <v>8</v>
      </c>
      <c r="D27" s="322">
        <v>4</v>
      </c>
      <c r="E27" s="323" t="s">
        <v>202</v>
      </c>
      <c r="F27" s="322">
        <v>100</v>
      </c>
      <c r="G27" s="322">
        <v>10</v>
      </c>
      <c r="H27" s="322">
        <v>90</v>
      </c>
      <c r="I27" s="322">
        <v>91</v>
      </c>
      <c r="J27" s="322">
        <v>9</v>
      </c>
      <c r="K27" s="322">
        <v>82</v>
      </c>
      <c r="L27" s="321" t="s">
        <v>275</v>
      </c>
      <c r="M27" s="321" t="s">
        <v>275</v>
      </c>
      <c r="N27" s="321" t="s">
        <v>275</v>
      </c>
      <c r="O27" s="322">
        <v>112</v>
      </c>
      <c r="P27" s="322">
        <v>11</v>
      </c>
      <c r="Q27" s="322">
        <v>101</v>
      </c>
      <c r="R27" s="321" t="s">
        <v>275</v>
      </c>
      <c r="S27" s="321" t="s">
        <v>275</v>
      </c>
      <c r="T27" s="321" t="s">
        <v>275</v>
      </c>
      <c r="U27" s="321" t="s">
        <v>275</v>
      </c>
      <c r="V27" s="321" t="s">
        <v>275</v>
      </c>
      <c r="W27" s="321" t="s">
        <v>275</v>
      </c>
    </row>
    <row r="28" spans="1:23" ht="16.3">
      <c r="A28" s="322">
        <v>25</v>
      </c>
      <c r="B28" s="321" t="s">
        <v>195</v>
      </c>
      <c r="C28" s="322">
        <v>8</v>
      </c>
      <c r="D28" s="322">
        <v>4</v>
      </c>
      <c r="E28" s="323" t="s">
        <v>203</v>
      </c>
      <c r="F28" s="322">
        <v>38</v>
      </c>
      <c r="G28" s="322">
        <v>4</v>
      </c>
      <c r="H28" s="322">
        <v>34</v>
      </c>
      <c r="I28" s="322">
        <v>41</v>
      </c>
      <c r="J28" s="322">
        <v>4</v>
      </c>
      <c r="K28" s="322">
        <v>37</v>
      </c>
      <c r="L28" s="321" t="s">
        <v>275</v>
      </c>
      <c r="M28" s="321" t="s">
        <v>275</v>
      </c>
      <c r="N28" s="321" t="s">
        <v>275</v>
      </c>
      <c r="O28" s="322">
        <v>47</v>
      </c>
      <c r="P28" s="322">
        <v>5</v>
      </c>
      <c r="Q28" s="322">
        <v>42</v>
      </c>
      <c r="R28" s="321" t="s">
        <v>275</v>
      </c>
      <c r="S28" s="321" t="s">
        <v>275</v>
      </c>
      <c r="T28" s="321" t="s">
        <v>275</v>
      </c>
      <c r="U28" s="321" t="s">
        <v>275</v>
      </c>
      <c r="V28" s="321" t="s">
        <v>275</v>
      </c>
      <c r="W28" s="321" t="s">
        <v>275</v>
      </c>
    </row>
    <row r="29" spans="1:23" ht="16.3">
      <c r="A29" s="322">
        <v>26</v>
      </c>
      <c r="B29" s="321" t="s">
        <v>196</v>
      </c>
      <c r="C29" s="322">
        <v>8</v>
      </c>
      <c r="D29" s="322">
        <v>4</v>
      </c>
      <c r="E29" s="323" t="s">
        <v>202</v>
      </c>
      <c r="F29" s="322">
        <v>96</v>
      </c>
      <c r="G29" s="322">
        <v>9</v>
      </c>
      <c r="H29" s="322">
        <v>87</v>
      </c>
      <c r="I29" s="322">
        <v>93</v>
      </c>
      <c r="J29" s="322">
        <v>9</v>
      </c>
      <c r="K29" s="322">
        <v>84</v>
      </c>
      <c r="L29" s="321" t="s">
        <v>275</v>
      </c>
      <c r="M29" s="321" t="s">
        <v>275</v>
      </c>
      <c r="N29" s="321" t="s">
        <v>275</v>
      </c>
      <c r="O29" s="322">
        <v>109</v>
      </c>
      <c r="P29" s="322">
        <v>10</v>
      </c>
      <c r="Q29" s="322">
        <v>99</v>
      </c>
      <c r="R29" s="321" t="s">
        <v>275</v>
      </c>
      <c r="S29" s="321" t="s">
        <v>275</v>
      </c>
      <c r="T29" s="321" t="s">
        <v>275</v>
      </c>
      <c r="U29" s="322">
        <v>124</v>
      </c>
      <c r="V29" s="322">
        <v>7</v>
      </c>
      <c r="W29" s="322">
        <v>117</v>
      </c>
    </row>
    <row r="30" spans="1:23" ht="16.3">
      <c r="A30" s="322">
        <v>27</v>
      </c>
      <c r="B30" s="321" t="s">
        <v>197</v>
      </c>
      <c r="C30" s="322">
        <v>8</v>
      </c>
      <c r="D30" s="322">
        <v>4</v>
      </c>
      <c r="E30" s="323" t="s">
        <v>202</v>
      </c>
      <c r="F30" s="322">
        <v>65</v>
      </c>
      <c r="G30" s="322">
        <v>6</v>
      </c>
      <c r="H30" s="322">
        <v>59</v>
      </c>
      <c r="I30" s="322">
        <v>63</v>
      </c>
      <c r="J30" s="322">
        <v>6</v>
      </c>
      <c r="K30" s="322">
        <v>57</v>
      </c>
      <c r="L30" s="321" t="s">
        <v>275</v>
      </c>
      <c r="M30" s="321" t="s">
        <v>275</v>
      </c>
      <c r="N30" s="321" t="s">
        <v>275</v>
      </c>
      <c r="O30" s="322">
        <v>53</v>
      </c>
      <c r="P30" s="322">
        <v>5</v>
      </c>
      <c r="Q30" s="322">
        <v>48</v>
      </c>
      <c r="R30" s="321" t="s">
        <v>275</v>
      </c>
      <c r="S30" s="321" t="s">
        <v>275</v>
      </c>
      <c r="T30" s="321" t="s">
        <v>275</v>
      </c>
      <c r="U30" s="321" t="s">
        <v>275</v>
      </c>
      <c r="V30" s="321" t="s">
        <v>275</v>
      </c>
      <c r="W30" s="321" t="s">
        <v>275</v>
      </c>
    </row>
    <row r="31" spans="1:23" ht="16.3">
      <c r="A31" s="322">
        <v>28</v>
      </c>
      <c r="B31" s="321" t="s">
        <v>198</v>
      </c>
      <c r="C31" s="322">
        <v>8</v>
      </c>
      <c r="D31" s="322">
        <v>4</v>
      </c>
      <c r="E31" s="323" t="s">
        <v>202</v>
      </c>
      <c r="F31" s="322">
        <v>116</v>
      </c>
      <c r="G31" s="322">
        <v>11</v>
      </c>
      <c r="H31" s="322">
        <v>105</v>
      </c>
      <c r="I31" s="322">
        <v>126</v>
      </c>
      <c r="J31" s="322">
        <v>12</v>
      </c>
      <c r="K31" s="322">
        <v>114</v>
      </c>
      <c r="L31" s="321" t="s">
        <v>275</v>
      </c>
      <c r="M31" s="321" t="s">
        <v>275</v>
      </c>
      <c r="N31" s="321" t="s">
        <v>275</v>
      </c>
      <c r="O31" s="321" t="s">
        <v>275</v>
      </c>
      <c r="P31" s="321" t="s">
        <v>275</v>
      </c>
      <c r="Q31" s="321" t="s">
        <v>275</v>
      </c>
      <c r="R31" s="322">
        <v>135</v>
      </c>
      <c r="S31" s="322">
        <v>8</v>
      </c>
      <c r="T31" s="322">
        <v>127</v>
      </c>
      <c r="U31" s="322">
        <v>113</v>
      </c>
      <c r="V31" s="322">
        <v>7</v>
      </c>
      <c r="W31" s="322">
        <v>106</v>
      </c>
    </row>
    <row r="32" spans="1:23" ht="16.3">
      <c r="A32" s="322">
        <v>29</v>
      </c>
      <c r="B32" s="321" t="s">
        <v>199</v>
      </c>
      <c r="C32" s="322">
        <v>8</v>
      </c>
      <c r="D32" s="322">
        <v>4</v>
      </c>
      <c r="E32" s="323" t="s">
        <v>202</v>
      </c>
      <c r="F32" s="322">
        <v>79</v>
      </c>
      <c r="G32" s="322">
        <v>8</v>
      </c>
      <c r="H32" s="322">
        <v>71</v>
      </c>
      <c r="I32" s="321" t="s">
        <v>275</v>
      </c>
      <c r="J32" s="321" t="s">
        <v>275</v>
      </c>
      <c r="K32" s="321" t="s">
        <v>275</v>
      </c>
      <c r="L32" s="322">
        <v>82</v>
      </c>
      <c r="M32" s="322">
        <v>8</v>
      </c>
      <c r="N32" s="322">
        <v>74</v>
      </c>
      <c r="O32" s="322">
        <v>87</v>
      </c>
      <c r="P32" s="322">
        <v>8</v>
      </c>
      <c r="Q32" s="322">
        <v>79</v>
      </c>
      <c r="R32" s="321" t="s">
        <v>275</v>
      </c>
      <c r="S32" s="321" t="s">
        <v>275</v>
      </c>
      <c r="T32" s="321" t="s">
        <v>275</v>
      </c>
      <c r="U32" s="321" t="s">
        <v>275</v>
      </c>
      <c r="V32" s="321" t="s">
        <v>275</v>
      </c>
      <c r="W32" s="321" t="s">
        <v>275</v>
      </c>
    </row>
    <row r="33" spans="1:23" ht="16.3">
      <c r="A33" s="322">
        <v>30</v>
      </c>
      <c r="B33" s="321" t="s">
        <v>199</v>
      </c>
      <c r="C33" s="322">
        <v>8</v>
      </c>
      <c r="D33" s="322">
        <v>4</v>
      </c>
      <c r="E33" s="323" t="s">
        <v>203</v>
      </c>
      <c r="F33" s="322">
        <v>32</v>
      </c>
      <c r="G33" s="322">
        <v>3</v>
      </c>
      <c r="H33" s="322">
        <v>29</v>
      </c>
      <c r="I33" s="321" t="s">
        <v>275</v>
      </c>
      <c r="J33" s="321" t="s">
        <v>275</v>
      </c>
      <c r="K33" s="321" t="s">
        <v>275</v>
      </c>
      <c r="L33" s="322">
        <v>34</v>
      </c>
      <c r="M33" s="322">
        <v>3</v>
      </c>
      <c r="N33" s="322">
        <v>31</v>
      </c>
      <c r="O33" s="322">
        <v>29</v>
      </c>
      <c r="P33" s="322">
        <v>3</v>
      </c>
      <c r="Q33" s="322">
        <v>26</v>
      </c>
      <c r="R33" s="321" t="s">
        <v>275</v>
      </c>
      <c r="S33" s="321" t="s">
        <v>275</v>
      </c>
      <c r="T33" s="321" t="s">
        <v>275</v>
      </c>
      <c r="U33" s="321" t="s">
        <v>275</v>
      </c>
      <c r="V33" s="321" t="s">
        <v>275</v>
      </c>
      <c r="W33" s="321" t="s">
        <v>275</v>
      </c>
    </row>
    <row r="34" spans="1:23" ht="16.3">
      <c r="A34" s="322">
        <v>31</v>
      </c>
      <c r="B34" s="321" t="s">
        <v>200</v>
      </c>
      <c r="C34" s="322">
        <v>8</v>
      </c>
      <c r="D34" s="322">
        <v>3</v>
      </c>
      <c r="E34" s="323" t="s">
        <v>202</v>
      </c>
      <c r="F34" s="321" t="s">
        <v>275</v>
      </c>
      <c r="G34" s="321" t="s">
        <v>275</v>
      </c>
      <c r="H34" s="321" t="s">
        <v>275</v>
      </c>
      <c r="I34" s="321" t="s">
        <v>275</v>
      </c>
      <c r="J34" s="321" t="s">
        <v>275</v>
      </c>
      <c r="K34" s="321" t="s">
        <v>275</v>
      </c>
      <c r="L34" s="321" t="s">
        <v>275</v>
      </c>
      <c r="M34" s="321" t="s">
        <v>275</v>
      </c>
      <c r="N34" s="321" t="s">
        <v>275</v>
      </c>
      <c r="O34" s="321" t="s">
        <v>275</v>
      </c>
      <c r="P34" s="321" t="s">
        <v>275</v>
      </c>
      <c r="Q34" s="321" t="s">
        <v>275</v>
      </c>
      <c r="R34" s="322">
        <v>105</v>
      </c>
      <c r="S34" s="322">
        <v>6</v>
      </c>
      <c r="T34" s="322">
        <v>99</v>
      </c>
      <c r="U34" s="321" t="s">
        <v>275</v>
      </c>
      <c r="V34" s="321" t="s">
        <v>275</v>
      </c>
      <c r="W34" s="321" t="s">
        <v>275</v>
      </c>
    </row>
    <row r="35" spans="1:23" ht="16.3">
      <c r="A35" s="322">
        <v>32</v>
      </c>
      <c r="B35" s="321" t="s">
        <v>200</v>
      </c>
      <c r="C35" s="322">
        <v>8</v>
      </c>
      <c r="D35" s="322">
        <v>3</v>
      </c>
      <c r="E35" s="323" t="s">
        <v>203</v>
      </c>
      <c r="F35" s="321" t="s">
        <v>275</v>
      </c>
      <c r="G35" s="321" t="s">
        <v>275</v>
      </c>
      <c r="H35" s="321" t="s">
        <v>275</v>
      </c>
      <c r="I35" s="321" t="s">
        <v>275</v>
      </c>
      <c r="J35" s="321" t="s">
        <v>275</v>
      </c>
      <c r="K35" s="321" t="s">
        <v>275</v>
      </c>
      <c r="L35" s="321" t="s">
        <v>275</v>
      </c>
      <c r="M35" s="321" t="s">
        <v>275</v>
      </c>
      <c r="N35" s="321" t="s">
        <v>275</v>
      </c>
      <c r="O35" s="321" t="s">
        <v>275</v>
      </c>
      <c r="P35" s="321" t="s">
        <v>275</v>
      </c>
      <c r="Q35" s="321" t="s">
        <v>275</v>
      </c>
      <c r="R35" s="321" t="s">
        <v>275</v>
      </c>
      <c r="S35" s="321" t="s">
        <v>275</v>
      </c>
      <c r="T35" s="321" t="s">
        <v>275</v>
      </c>
      <c r="U35" s="321" t="s">
        <v>275</v>
      </c>
      <c r="V35" s="321" t="s">
        <v>275</v>
      </c>
      <c r="W35" s="321" t="s">
        <v>275</v>
      </c>
    </row>
    <row r="36" spans="1:23" ht="16.3">
      <c r="A36" s="322">
        <v>33</v>
      </c>
      <c r="B36" s="321" t="s">
        <v>200</v>
      </c>
      <c r="C36" s="322">
        <v>8</v>
      </c>
      <c r="D36" s="322">
        <v>4</v>
      </c>
      <c r="E36" s="323" t="s">
        <v>202</v>
      </c>
      <c r="F36" s="322">
        <v>111</v>
      </c>
      <c r="G36" s="322">
        <v>11</v>
      </c>
      <c r="H36" s="322">
        <v>100</v>
      </c>
      <c r="I36" s="322">
        <v>122</v>
      </c>
      <c r="J36" s="322">
        <v>12</v>
      </c>
      <c r="K36" s="322">
        <v>110</v>
      </c>
      <c r="L36" s="321" t="s">
        <v>275</v>
      </c>
      <c r="M36" s="321" t="s">
        <v>275</v>
      </c>
      <c r="N36" s="321" t="s">
        <v>275</v>
      </c>
      <c r="O36" s="322">
        <v>144</v>
      </c>
      <c r="P36" s="322">
        <v>15</v>
      </c>
      <c r="Q36" s="322">
        <v>129</v>
      </c>
      <c r="R36" s="322">
        <v>143</v>
      </c>
      <c r="S36" s="322">
        <v>9</v>
      </c>
      <c r="T36" s="322">
        <v>134</v>
      </c>
      <c r="U36" s="321" t="s">
        <v>275</v>
      </c>
      <c r="V36" s="321" t="s">
        <v>275</v>
      </c>
      <c r="W36" s="321" t="s">
        <v>275</v>
      </c>
    </row>
    <row r="37" spans="1:23" ht="16.3">
      <c r="A37" s="322">
        <v>34</v>
      </c>
      <c r="B37" s="321" t="s">
        <v>200</v>
      </c>
      <c r="C37" s="322">
        <v>8</v>
      </c>
      <c r="D37" s="322">
        <v>4</v>
      </c>
      <c r="E37" s="323" t="s">
        <v>203</v>
      </c>
      <c r="F37" s="322">
        <v>38</v>
      </c>
      <c r="G37" s="322">
        <v>4</v>
      </c>
      <c r="H37" s="322">
        <v>34</v>
      </c>
      <c r="I37" s="322">
        <v>34</v>
      </c>
      <c r="J37" s="322">
        <v>3</v>
      </c>
      <c r="K37" s="322">
        <v>31</v>
      </c>
      <c r="L37" s="321" t="s">
        <v>275</v>
      </c>
      <c r="M37" s="321" t="s">
        <v>275</v>
      </c>
      <c r="N37" s="321" t="s">
        <v>275</v>
      </c>
      <c r="O37" s="322">
        <v>44</v>
      </c>
      <c r="P37" s="322">
        <v>4</v>
      </c>
      <c r="Q37" s="322">
        <v>40</v>
      </c>
      <c r="R37" s="322">
        <v>42</v>
      </c>
      <c r="S37" s="322">
        <v>7</v>
      </c>
      <c r="T37" s="322">
        <v>35</v>
      </c>
      <c r="U37" s="321" t="s">
        <v>275</v>
      </c>
      <c r="V37" s="321" t="s">
        <v>275</v>
      </c>
      <c r="W37" s="321" t="s">
        <v>275</v>
      </c>
    </row>
    <row r="38" spans="1:23" ht="16.3">
      <c r="A38" s="322">
        <v>35</v>
      </c>
      <c r="B38" s="321" t="s">
        <v>192</v>
      </c>
      <c r="C38" s="322">
        <v>9</v>
      </c>
      <c r="D38" s="322">
        <v>6</v>
      </c>
      <c r="E38" s="323" t="s">
        <v>202</v>
      </c>
      <c r="F38" s="322">
        <v>65</v>
      </c>
      <c r="G38" s="322">
        <v>6</v>
      </c>
      <c r="H38" s="322">
        <v>59</v>
      </c>
      <c r="I38" s="322">
        <v>65</v>
      </c>
      <c r="J38" s="322">
        <v>6</v>
      </c>
      <c r="K38" s="322">
        <v>59</v>
      </c>
      <c r="L38" s="321" t="s">
        <v>275</v>
      </c>
      <c r="M38" s="321" t="s">
        <v>275</v>
      </c>
      <c r="N38" s="321" t="s">
        <v>275</v>
      </c>
      <c r="O38" s="322">
        <v>78</v>
      </c>
      <c r="P38" s="322">
        <v>7</v>
      </c>
      <c r="Q38" s="322">
        <v>71</v>
      </c>
      <c r="R38" s="321" t="s">
        <v>275</v>
      </c>
      <c r="S38" s="321" t="s">
        <v>275</v>
      </c>
      <c r="T38" s="321" t="s">
        <v>275</v>
      </c>
      <c r="U38" s="321" t="s">
        <v>275</v>
      </c>
      <c r="V38" s="321" t="s">
        <v>275</v>
      </c>
      <c r="W38" s="321" t="s">
        <v>275</v>
      </c>
    </row>
    <row r="39" spans="1:23" ht="16.3">
      <c r="A39" s="322">
        <v>36</v>
      </c>
      <c r="B39" s="321" t="s">
        <v>192</v>
      </c>
      <c r="C39" s="322">
        <v>9</v>
      </c>
      <c r="D39" s="322">
        <v>6</v>
      </c>
      <c r="E39" s="323" t="s">
        <v>203</v>
      </c>
      <c r="F39" s="322">
        <v>30</v>
      </c>
      <c r="G39" s="322">
        <v>3</v>
      </c>
      <c r="H39" s="322">
        <v>27</v>
      </c>
      <c r="I39" s="322">
        <v>35</v>
      </c>
      <c r="J39" s="322">
        <v>3</v>
      </c>
      <c r="K39" s="322">
        <v>32</v>
      </c>
      <c r="L39" s="321" t="s">
        <v>275</v>
      </c>
      <c r="M39" s="321" t="s">
        <v>275</v>
      </c>
      <c r="N39" s="321" t="s">
        <v>275</v>
      </c>
      <c r="O39" s="322">
        <v>37</v>
      </c>
      <c r="P39" s="322">
        <v>4</v>
      </c>
      <c r="Q39" s="322">
        <v>33</v>
      </c>
      <c r="R39" s="321" t="s">
        <v>275</v>
      </c>
      <c r="S39" s="321" t="s">
        <v>275</v>
      </c>
      <c r="T39" s="321" t="s">
        <v>275</v>
      </c>
      <c r="U39" s="321" t="s">
        <v>275</v>
      </c>
      <c r="V39" s="321" t="s">
        <v>275</v>
      </c>
      <c r="W39" s="321" t="s">
        <v>275</v>
      </c>
    </row>
    <row r="40" spans="1:23" ht="16.3">
      <c r="A40" s="322">
        <v>37</v>
      </c>
      <c r="B40" s="321" t="s">
        <v>193</v>
      </c>
      <c r="C40" s="322">
        <v>9</v>
      </c>
      <c r="D40" s="322">
        <v>6</v>
      </c>
      <c r="E40" s="323" t="s">
        <v>202</v>
      </c>
      <c r="F40" s="322">
        <v>101</v>
      </c>
      <c r="G40" s="322">
        <v>10</v>
      </c>
      <c r="H40" s="322">
        <v>91</v>
      </c>
      <c r="I40" s="322">
        <v>103</v>
      </c>
      <c r="J40" s="322">
        <v>10</v>
      </c>
      <c r="K40" s="322">
        <v>93</v>
      </c>
      <c r="L40" s="321" t="s">
        <v>275</v>
      </c>
      <c r="M40" s="321" t="s">
        <v>275</v>
      </c>
      <c r="N40" s="321" t="s">
        <v>275</v>
      </c>
      <c r="O40" s="322">
        <v>102</v>
      </c>
      <c r="P40" s="322">
        <v>12</v>
      </c>
      <c r="Q40" s="322">
        <v>90</v>
      </c>
      <c r="R40" s="321" t="s">
        <v>275</v>
      </c>
      <c r="S40" s="321" t="s">
        <v>275</v>
      </c>
      <c r="T40" s="321" t="s">
        <v>275</v>
      </c>
      <c r="U40" s="321" t="s">
        <v>275</v>
      </c>
      <c r="V40" s="321" t="s">
        <v>275</v>
      </c>
      <c r="W40" s="321" t="s">
        <v>275</v>
      </c>
    </row>
    <row r="41" spans="1:23" ht="16.3">
      <c r="A41" s="322">
        <v>38</v>
      </c>
      <c r="B41" s="321" t="s">
        <v>193</v>
      </c>
      <c r="C41" s="322">
        <v>9</v>
      </c>
      <c r="D41" s="322">
        <v>6</v>
      </c>
      <c r="E41" s="323" t="s">
        <v>203</v>
      </c>
      <c r="F41" s="322">
        <v>23</v>
      </c>
      <c r="G41" s="322">
        <v>2</v>
      </c>
      <c r="H41" s="322">
        <v>21</v>
      </c>
      <c r="I41" s="322">
        <v>24</v>
      </c>
      <c r="J41" s="322">
        <v>2</v>
      </c>
      <c r="K41" s="322">
        <v>22</v>
      </c>
      <c r="L41" s="321" t="s">
        <v>275</v>
      </c>
      <c r="M41" s="321" t="s">
        <v>275</v>
      </c>
      <c r="N41" s="321" t="s">
        <v>275</v>
      </c>
      <c r="O41" s="322">
        <v>29</v>
      </c>
      <c r="P41" s="322">
        <v>3</v>
      </c>
      <c r="Q41" s="322">
        <v>26</v>
      </c>
      <c r="R41" s="321" t="s">
        <v>275</v>
      </c>
      <c r="S41" s="321" t="s">
        <v>275</v>
      </c>
      <c r="T41" s="321" t="s">
        <v>275</v>
      </c>
      <c r="U41" s="321" t="s">
        <v>275</v>
      </c>
      <c r="V41" s="321" t="s">
        <v>275</v>
      </c>
      <c r="W41" s="321" t="s">
        <v>275</v>
      </c>
    </row>
    <row r="42" spans="1:23" ht="16.3">
      <c r="A42" s="322">
        <v>39</v>
      </c>
      <c r="B42" s="321" t="s">
        <v>194</v>
      </c>
      <c r="C42" s="322">
        <v>9</v>
      </c>
      <c r="D42" s="322">
        <v>6</v>
      </c>
      <c r="E42" s="323" t="s">
        <v>202</v>
      </c>
      <c r="F42" s="322">
        <v>72</v>
      </c>
      <c r="G42" s="322">
        <v>7</v>
      </c>
      <c r="H42" s="322">
        <v>65</v>
      </c>
      <c r="I42" s="322">
        <v>72</v>
      </c>
      <c r="J42" s="322">
        <v>7</v>
      </c>
      <c r="K42" s="322">
        <v>65</v>
      </c>
      <c r="L42" s="321" t="s">
        <v>275</v>
      </c>
      <c r="M42" s="321" t="s">
        <v>275</v>
      </c>
      <c r="N42" s="321" t="s">
        <v>275</v>
      </c>
      <c r="O42" s="322">
        <v>98</v>
      </c>
      <c r="P42" s="322">
        <v>9</v>
      </c>
      <c r="Q42" s="322">
        <v>89</v>
      </c>
      <c r="R42" s="321" t="s">
        <v>275</v>
      </c>
      <c r="S42" s="321" t="s">
        <v>275</v>
      </c>
      <c r="T42" s="321" t="s">
        <v>275</v>
      </c>
      <c r="U42" s="321" t="s">
        <v>275</v>
      </c>
      <c r="V42" s="321" t="s">
        <v>275</v>
      </c>
      <c r="W42" s="321" t="s">
        <v>275</v>
      </c>
    </row>
    <row r="43" spans="1:23" ht="16.3">
      <c r="A43" s="322">
        <v>40</v>
      </c>
      <c r="B43" s="321" t="s">
        <v>194</v>
      </c>
      <c r="C43" s="322">
        <v>9</v>
      </c>
      <c r="D43" s="322">
        <v>6</v>
      </c>
      <c r="E43" s="323" t="s">
        <v>203</v>
      </c>
      <c r="F43" s="322">
        <v>26</v>
      </c>
      <c r="G43" s="322">
        <v>3</v>
      </c>
      <c r="H43" s="322">
        <v>23</v>
      </c>
      <c r="I43" s="322">
        <v>30</v>
      </c>
      <c r="J43" s="322">
        <v>3</v>
      </c>
      <c r="K43" s="322">
        <v>27</v>
      </c>
      <c r="L43" s="321" t="s">
        <v>275</v>
      </c>
      <c r="M43" s="321" t="s">
        <v>275</v>
      </c>
      <c r="N43" s="321" t="s">
        <v>275</v>
      </c>
      <c r="O43" s="322">
        <v>42</v>
      </c>
      <c r="P43" s="322">
        <v>4</v>
      </c>
      <c r="Q43" s="322">
        <v>38</v>
      </c>
      <c r="R43" s="321" t="s">
        <v>275</v>
      </c>
      <c r="S43" s="321" t="s">
        <v>275</v>
      </c>
      <c r="T43" s="321" t="s">
        <v>275</v>
      </c>
      <c r="U43" s="321" t="s">
        <v>275</v>
      </c>
      <c r="V43" s="321" t="s">
        <v>275</v>
      </c>
      <c r="W43" s="321" t="s">
        <v>275</v>
      </c>
    </row>
    <row r="44" spans="1:23" ht="16.3">
      <c r="A44" s="322">
        <v>41</v>
      </c>
      <c r="B44" s="321" t="s">
        <v>195</v>
      </c>
      <c r="C44" s="322">
        <v>9</v>
      </c>
      <c r="D44" s="322">
        <v>6</v>
      </c>
      <c r="E44" s="323" t="s">
        <v>202</v>
      </c>
      <c r="F44" s="322">
        <v>74</v>
      </c>
      <c r="G44" s="322">
        <v>7</v>
      </c>
      <c r="H44" s="322">
        <v>67</v>
      </c>
      <c r="I44" s="322">
        <v>68</v>
      </c>
      <c r="J44" s="322">
        <v>7</v>
      </c>
      <c r="K44" s="322">
        <v>61</v>
      </c>
      <c r="L44" s="321" t="s">
        <v>275</v>
      </c>
      <c r="M44" s="321" t="s">
        <v>275</v>
      </c>
      <c r="N44" s="321" t="s">
        <v>275</v>
      </c>
      <c r="O44" s="322">
        <v>94</v>
      </c>
      <c r="P44" s="322">
        <v>10</v>
      </c>
      <c r="Q44" s="322">
        <v>84</v>
      </c>
      <c r="R44" s="321" t="s">
        <v>275</v>
      </c>
      <c r="S44" s="321" t="s">
        <v>275</v>
      </c>
      <c r="T44" s="321" t="s">
        <v>275</v>
      </c>
      <c r="U44" s="321" t="s">
        <v>275</v>
      </c>
      <c r="V44" s="321" t="s">
        <v>275</v>
      </c>
      <c r="W44" s="321" t="s">
        <v>275</v>
      </c>
    </row>
    <row r="45" spans="1:23" ht="16.3">
      <c r="A45" s="322">
        <v>42</v>
      </c>
      <c r="B45" s="321" t="s">
        <v>195</v>
      </c>
      <c r="C45" s="322">
        <v>9</v>
      </c>
      <c r="D45" s="322">
        <v>6</v>
      </c>
      <c r="E45" s="323" t="s">
        <v>203</v>
      </c>
      <c r="F45" s="322">
        <v>32</v>
      </c>
      <c r="G45" s="322">
        <v>3</v>
      </c>
      <c r="H45" s="322">
        <v>29</v>
      </c>
      <c r="I45" s="322">
        <v>30</v>
      </c>
      <c r="J45" s="322">
        <v>3</v>
      </c>
      <c r="K45" s="322">
        <v>27</v>
      </c>
      <c r="L45" s="321" t="s">
        <v>275</v>
      </c>
      <c r="M45" s="321" t="s">
        <v>275</v>
      </c>
      <c r="N45" s="321" t="s">
        <v>275</v>
      </c>
      <c r="O45" s="322">
        <v>36</v>
      </c>
      <c r="P45" s="322">
        <v>4</v>
      </c>
      <c r="Q45" s="322">
        <v>32</v>
      </c>
      <c r="R45" s="321" t="s">
        <v>275</v>
      </c>
      <c r="S45" s="321" t="s">
        <v>275</v>
      </c>
      <c r="T45" s="321" t="s">
        <v>275</v>
      </c>
      <c r="U45" s="321" t="s">
        <v>275</v>
      </c>
      <c r="V45" s="321" t="s">
        <v>275</v>
      </c>
      <c r="W45" s="321" t="s">
        <v>275</v>
      </c>
    </row>
    <row r="46" spans="1:23" ht="16.3">
      <c r="A46" s="322">
        <v>43</v>
      </c>
      <c r="B46" s="321" t="s">
        <v>196</v>
      </c>
      <c r="C46" s="322">
        <v>9</v>
      </c>
      <c r="D46" s="322">
        <v>6</v>
      </c>
      <c r="E46" s="323" t="s">
        <v>202</v>
      </c>
      <c r="F46" s="322">
        <v>88</v>
      </c>
      <c r="G46" s="322">
        <v>8</v>
      </c>
      <c r="H46" s="322">
        <v>80</v>
      </c>
      <c r="I46" s="322">
        <v>129</v>
      </c>
      <c r="J46" s="322">
        <v>12</v>
      </c>
      <c r="K46" s="322">
        <v>117</v>
      </c>
      <c r="L46" s="321" t="s">
        <v>275</v>
      </c>
      <c r="M46" s="321" t="s">
        <v>275</v>
      </c>
      <c r="N46" s="321" t="s">
        <v>275</v>
      </c>
      <c r="O46" s="322">
        <v>88</v>
      </c>
      <c r="P46" s="322">
        <v>8</v>
      </c>
      <c r="Q46" s="322">
        <v>80</v>
      </c>
      <c r="R46" s="321" t="s">
        <v>275</v>
      </c>
      <c r="S46" s="321" t="s">
        <v>275</v>
      </c>
      <c r="T46" s="321" t="s">
        <v>275</v>
      </c>
      <c r="U46" s="321" t="s">
        <v>275</v>
      </c>
      <c r="V46" s="321" t="s">
        <v>275</v>
      </c>
      <c r="W46" s="321" t="s">
        <v>275</v>
      </c>
    </row>
    <row r="47" spans="1:23" ht="16.3">
      <c r="A47" s="322">
        <v>44</v>
      </c>
      <c r="B47" s="321" t="s">
        <v>197</v>
      </c>
      <c r="C47" s="322">
        <v>9</v>
      </c>
      <c r="D47" s="322">
        <v>6</v>
      </c>
      <c r="E47" s="323" t="s">
        <v>202</v>
      </c>
      <c r="F47" s="322">
        <v>58</v>
      </c>
      <c r="G47" s="322">
        <v>6</v>
      </c>
      <c r="H47" s="322">
        <v>52</v>
      </c>
      <c r="I47" s="322">
        <v>59</v>
      </c>
      <c r="J47" s="322">
        <v>6</v>
      </c>
      <c r="K47" s="322">
        <v>53</v>
      </c>
      <c r="L47" s="321" t="s">
        <v>275</v>
      </c>
      <c r="M47" s="321" t="s">
        <v>275</v>
      </c>
      <c r="N47" s="321" t="s">
        <v>275</v>
      </c>
      <c r="O47" s="322">
        <v>51</v>
      </c>
      <c r="P47" s="322">
        <v>5</v>
      </c>
      <c r="Q47" s="322">
        <v>46</v>
      </c>
      <c r="R47" s="321" t="s">
        <v>275</v>
      </c>
      <c r="S47" s="321" t="s">
        <v>275</v>
      </c>
      <c r="T47" s="321" t="s">
        <v>275</v>
      </c>
      <c r="U47" s="321" t="s">
        <v>275</v>
      </c>
      <c r="V47" s="321" t="s">
        <v>275</v>
      </c>
      <c r="W47" s="321" t="s">
        <v>275</v>
      </c>
    </row>
    <row r="48" spans="1:23" ht="16.3">
      <c r="A48" s="322">
        <v>45</v>
      </c>
      <c r="B48" s="321" t="s">
        <v>198</v>
      </c>
      <c r="C48" s="322">
        <v>9</v>
      </c>
      <c r="D48" s="322">
        <v>6</v>
      </c>
      <c r="E48" s="323" t="s">
        <v>202</v>
      </c>
      <c r="F48" s="322">
        <v>116</v>
      </c>
      <c r="G48" s="322">
        <v>11</v>
      </c>
      <c r="H48" s="322">
        <v>105</v>
      </c>
      <c r="I48" s="322">
        <v>106</v>
      </c>
      <c r="J48" s="322">
        <v>10</v>
      </c>
      <c r="K48" s="322">
        <v>96</v>
      </c>
      <c r="L48" s="321" t="s">
        <v>275</v>
      </c>
      <c r="M48" s="321" t="s">
        <v>275</v>
      </c>
      <c r="N48" s="321" t="s">
        <v>275</v>
      </c>
      <c r="O48" s="321" t="s">
        <v>275</v>
      </c>
      <c r="P48" s="321" t="s">
        <v>275</v>
      </c>
      <c r="Q48" s="321" t="s">
        <v>275</v>
      </c>
      <c r="R48" s="321" t="s">
        <v>275</v>
      </c>
      <c r="S48" s="321" t="s">
        <v>275</v>
      </c>
      <c r="T48" s="321" t="s">
        <v>275</v>
      </c>
      <c r="U48" s="322">
        <v>111</v>
      </c>
      <c r="V48" s="322">
        <v>7</v>
      </c>
      <c r="W48" s="322">
        <v>104</v>
      </c>
    </row>
    <row r="49" spans="1:23" ht="16.3">
      <c r="A49" s="322">
        <v>46</v>
      </c>
      <c r="B49" s="321" t="s">
        <v>199</v>
      </c>
      <c r="C49" s="322">
        <v>9</v>
      </c>
      <c r="D49" s="322">
        <v>6</v>
      </c>
      <c r="E49" s="323" t="s">
        <v>202</v>
      </c>
      <c r="F49" s="322">
        <v>58</v>
      </c>
      <c r="G49" s="322">
        <v>6</v>
      </c>
      <c r="H49" s="322">
        <v>52</v>
      </c>
      <c r="I49" s="321" t="s">
        <v>275</v>
      </c>
      <c r="J49" s="321" t="s">
        <v>275</v>
      </c>
      <c r="K49" s="321" t="s">
        <v>275</v>
      </c>
      <c r="L49" s="322">
        <v>63</v>
      </c>
      <c r="M49" s="322">
        <v>6</v>
      </c>
      <c r="N49" s="322">
        <v>57</v>
      </c>
      <c r="O49" s="322">
        <v>62</v>
      </c>
      <c r="P49" s="322">
        <v>6</v>
      </c>
      <c r="Q49" s="322">
        <v>56</v>
      </c>
      <c r="R49" s="321" t="s">
        <v>275</v>
      </c>
      <c r="S49" s="321" t="s">
        <v>275</v>
      </c>
      <c r="T49" s="321" t="s">
        <v>275</v>
      </c>
      <c r="U49" s="321" t="s">
        <v>275</v>
      </c>
      <c r="V49" s="321" t="s">
        <v>275</v>
      </c>
      <c r="W49" s="321" t="s">
        <v>275</v>
      </c>
    </row>
    <row r="50" spans="1:23" ht="16.3">
      <c r="A50" s="322">
        <v>47</v>
      </c>
      <c r="B50" s="321" t="s">
        <v>199</v>
      </c>
      <c r="C50" s="322">
        <v>9</v>
      </c>
      <c r="D50" s="322">
        <v>6</v>
      </c>
      <c r="E50" s="323" t="s">
        <v>203</v>
      </c>
      <c r="F50" s="322">
        <v>23</v>
      </c>
      <c r="G50" s="322">
        <v>2</v>
      </c>
      <c r="H50" s="322">
        <v>21</v>
      </c>
      <c r="I50" s="321" t="s">
        <v>275</v>
      </c>
      <c r="J50" s="321" t="s">
        <v>275</v>
      </c>
      <c r="K50" s="321" t="s">
        <v>275</v>
      </c>
      <c r="L50" s="322">
        <v>21</v>
      </c>
      <c r="M50" s="322">
        <v>2</v>
      </c>
      <c r="N50" s="322">
        <v>19</v>
      </c>
      <c r="O50" s="322">
        <v>33</v>
      </c>
      <c r="P50" s="322">
        <v>3</v>
      </c>
      <c r="Q50" s="322">
        <v>30</v>
      </c>
      <c r="R50" s="321" t="s">
        <v>275</v>
      </c>
      <c r="S50" s="321" t="s">
        <v>275</v>
      </c>
      <c r="T50" s="321" t="s">
        <v>275</v>
      </c>
      <c r="U50" s="321" t="s">
        <v>275</v>
      </c>
      <c r="V50" s="321" t="s">
        <v>275</v>
      </c>
      <c r="W50" s="321" t="s">
        <v>275</v>
      </c>
    </row>
    <row r="51" spans="1:23" ht="16.3">
      <c r="A51" s="322">
        <v>48</v>
      </c>
      <c r="B51" s="321" t="s">
        <v>200</v>
      </c>
      <c r="C51" s="322">
        <v>9</v>
      </c>
      <c r="D51" s="322">
        <v>6</v>
      </c>
      <c r="E51" s="323" t="s">
        <v>202</v>
      </c>
      <c r="F51" s="322">
        <v>121</v>
      </c>
      <c r="G51" s="322">
        <v>12</v>
      </c>
      <c r="H51" s="322">
        <v>109</v>
      </c>
      <c r="I51" s="322">
        <v>104</v>
      </c>
      <c r="J51" s="322">
        <v>10</v>
      </c>
      <c r="K51" s="322">
        <v>94</v>
      </c>
      <c r="L51" s="321" t="s">
        <v>275</v>
      </c>
      <c r="M51" s="321" t="s">
        <v>275</v>
      </c>
      <c r="N51" s="321" t="s">
        <v>275</v>
      </c>
      <c r="O51" s="322">
        <v>117</v>
      </c>
      <c r="P51" s="322">
        <v>10</v>
      </c>
      <c r="Q51" s="322">
        <v>107</v>
      </c>
      <c r="R51" s="321" t="s">
        <v>275</v>
      </c>
      <c r="S51" s="321" t="s">
        <v>275</v>
      </c>
      <c r="T51" s="321" t="s">
        <v>275</v>
      </c>
      <c r="U51" s="321" t="s">
        <v>275</v>
      </c>
      <c r="V51" s="321" t="s">
        <v>275</v>
      </c>
      <c r="W51" s="321" t="s">
        <v>275</v>
      </c>
    </row>
    <row r="52" spans="1:23" ht="16.3">
      <c r="A52" s="322">
        <v>49</v>
      </c>
      <c r="B52" s="321" t="s">
        <v>200</v>
      </c>
      <c r="C52" s="322">
        <v>9</v>
      </c>
      <c r="D52" s="322">
        <v>6</v>
      </c>
      <c r="E52" s="323" t="s">
        <v>203</v>
      </c>
      <c r="F52" s="322">
        <v>38</v>
      </c>
      <c r="G52" s="322">
        <v>4</v>
      </c>
      <c r="H52" s="322">
        <v>34</v>
      </c>
      <c r="I52" s="322">
        <v>26</v>
      </c>
      <c r="J52" s="322">
        <v>3</v>
      </c>
      <c r="K52" s="322">
        <v>23</v>
      </c>
      <c r="L52" s="321" t="s">
        <v>275</v>
      </c>
      <c r="M52" s="321" t="s">
        <v>275</v>
      </c>
      <c r="N52" s="321" t="s">
        <v>275</v>
      </c>
      <c r="O52" s="322">
        <v>30</v>
      </c>
      <c r="P52" s="322">
        <v>3</v>
      </c>
      <c r="Q52" s="322">
        <v>27</v>
      </c>
      <c r="R52" s="321" t="s">
        <v>275</v>
      </c>
      <c r="S52" s="321" t="s">
        <v>275</v>
      </c>
      <c r="T52" s="321" t="s">
        <v>275</v>
      </c>
      <c r="U52" s="321" t="s">
        <v>275</v>
      </c>
      <c r="V52" s="321" t="s">
        <v>275</v>
      </c>
      <c r="W52" s="321" t="s">
        <v>275</v>
      </c>
    </row>
  </sheetData>
  <mergeCells count="12">
    <mergeCell ref="C2:C3"/>
    <mergeCell ref="B2:B3"/>
    <mergeCell ref="A2:A3"/>
    <mergeCell ref="A1:W1"/>
    <mergeCell ref="F2:H2"/>
    <mergeCell ref="I2:K2"/>
    <mergeCell ref="L2:N2"/>
    <mergeCell ref="O2:Q2"/>
    <mergeCell ref="R2:T2"/>
    <mergeCell ref="U2:W2"/>
    <mergeCell ref="E2:E3"/>
    <mergeCell ref="D2:D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7"/>
  <sheetViews>
    <sheetView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J12" sqref="J12"/>
    </sheetView>
  </sheetViews>
  <sheetFormatPr defaultRowHeight="13.8"/>
  <cols>
    <col min="1" max="1" width="10.375" style="1" customWidth="1"/>
    <col min="2" max="2" width="29.375" bestFit="1" customWidth="1"/>
    <col min="3" max="3" width="6" style="357" bestFit="1" customWidth="1"/>
    <col min="4" max="4" width="10.375" style="1" customWidth="1"/>
    <col min="5" max="5" width="10.375" style="3" customWidth="1"/>
    <col min="6" max="6" width="7.75" style="3" customWidth="1"/>
    <col min="7" max="13" width="10.375" style="3" customWidth="1"/>
    <col min="14" max="14" width="11.375" customWidth="1"/>
    <col min="15" max="15" width="10.375" customWidth="1"/>
    <col min="16" max="16" width="10" customWidth="1"/>
    <col min="17" max="17" width="10.875" customWidth="1"/>
    <col min="18" max="18" width="12.75" customWidth="1"/>
    <col min="20" max="20" width="12" customWidth="1"/>
    <col min="22" max="22" width="9.375" bestFit="1" customWidth="1"/>
    <col min="23" max="23" width="2.875" customWidth="1"/>
    <col min="24" max="24" width="11.375" customWidth="1"/>
    <col min="25" max="25" width="12.75" customWidth="1"/>
    <col min="26" max="27" width="9" style="48" customWidth="1"/>
    <col min="28" max="30" width="9.125" style="48" customWidth="1"/>
  </cols>
  <sheetData>
    <row r="1" spans="1:27" ht="24.75" customHeight="1">
      <c r="A1" s="488" t="s">
        <v>211</v>
      </c>
      <c r="B1" s="489"/>
      <c r="C1" s="346"/>
      <c r="D1" s="197" t="s">
        <v>136</v>
      </c>
      <c r="E1" s="507" t="s">
        <v>103</v>
      </c>
      <c r="F1" s="507"/>
      <c r="G1" s="507"/>
      <c r="H1" s="507"/>
      <c r="I1" s="507"/>
      <c r="J1" s="497" t="s">
        <v>105</v>
      </c>
      <c r="K1" s="497"/>
      <c r="L1" s="497"/>
      <c r="M1" s="191"/>
      <c r="N1" s="226" t="s">
        <v>106</v>
      </c>
      <c r="O1" s="498" t="s">
        <v>107</v>
      </c>
      <c r="P1" s="499"/>
      <c r="Q1" s="505" t="s">
        <v>108</v>
      </c>
      <c r="R1" s="506"/>
      <c r="S1" s="492" t="s">
        <v>109</v>
      </c>
      <c r="T1" s="492"/>
      <c r="U1" s="492"/>
      <c r="V1" s="493"/>
    </row>
    <row r="2" spans="1:27" ht="16.600000000000001" customHeight="1">
      <c r="A2" s="484" t="s">
        <v>210</v>
      </c>
      <c r="B2" s="485"/>
      <c r="C2" s="347"/>
      <c r="D2" s="191" t="s">
        <v>138</v>
      </c>
      <c r="E2" s="192" t="s">
        <v>80</v>
      </c>
      <c r="F2" s="192" t="s">
        <v>81</v>
      </c>
      <c r="G2" s="192" t="s">
        <v>82</v>
      </c>
      <c r="H2" s="192" t="s">
        <v>84</v>
      </c>
      <c r="I2" s="192" t="s">
        <v>83</v>
      </c>
      <c r="J2" s="193" t="s">
        <v>85</v>
      </c>
      <c r="K2" s="193" t="s">
        <v>86</v>
      </c>
      <c r="L2" s="193" t="s">
        <v>87</v>
      </c>
      <c r="M2" s="191"/>
      <c r="N2" s="37" t="s">
        <v>88</v>
      </c>
      <c r="O2" s="29" t="s">
        <v>89</v>
      </c>
      <c r="P2" s="30" t="s">
        <v>90</v>
      </c>
      <c r="Q2" s="27" t="s">
        <v>91</v>
      </c>
      <c r="R2" s="32" t="s">
        <v>92</v>
      </c>
      <c r="S2" s="28" t="s">
        <v>93</v>
      </c>
      <c r="T2" s="34" t="s">
        <v>94</v>
      </c>
      <c r="U2" s="34" t="s">
        <v>110</v>
      </c>
      <c r="V2" s="39" t="s">
        <v>111</v>
      </c>
    </row>
    <row r="3" spans="1:27" ht="16.600000000000001" customHeight="1">
      <c r="A3" s="486"/>
      <c r="B3" s="487"/>
      <c r="C3" s="348"/>
      <c r="D3" s="191" t="s">
        <v>137</v>
      </c>
      <c r="E3" s="192"/>
      <c r="F3" s="192"/>
      <c r="G3" s="194" t="s">
        <v>95</v>
      </c>
      <c r="H3" s="195" t="s">
        <v>104</v>
      </c>
      <c r="I3" s="194" t="s">
        <v>96</v>
      </c>
      <c r="J3" s="193"/>
      <c r="K3" s="193"/>
      <c r="L3" s="196" t="s">
        <v>97</v>
      </c>
      <c r="M3" s="191"/>
      <c r="N3" s="38" t="s">
        <v>98</v>
      </c>
      <c r="O3" s="11" t="s">
        <v>99</v>
      </c>
      <c r="P3" s="31" t="s">
        <v>100</v>
      </c>
      <c r="Q3" s="24" t="s">
        <v>101</v>
      </c>
      <c r="R3" s="33" t="s">
        <v>122</v>
      </c>
      <c r="S3" s="11" t="s">
        <v>99</v>
      </c>
      <c r="T3" s="35" t="s">
        <v>102</v>
      </c>
      <c r="U3" s="36" t="s">
        <v>112</v>
      </c>
      <c r="V3" s="23" t="s">
        <v>113</v>
      </c>
      <c r="Z3" s="50" t="s">
        <v>132</v>
      </c>
      <c r="AA3" s="50" t="s">
        <v>133</v>
      </c>
    </row>
    <row r="4" spans="1:27" ht="55.75" thickBot="1">
      <c r="A4" s="4" t="s">
        <v>0</v>
      </c>
      <c r="B4" s="4" t="s">
        <v>1</v>
      </c>
      <c r="C4" s="349" t="s">
        <v>322</v>
      </c>
      <c r="D4" s="17" t="s">
        <v>2</v>
      </c>
      <c r="E4" s="44" t="s">
        <v>3</v>
      </c>
      <c r="F4" s="45" t="s">
        <v>4</v>
      </c>
      <c r="G4" s="45" t="s">
        <v>5</v>
      </c>
      <c r="H4" s="45" t="s">
        <v>6</v>
      </c>
      <c r="I4" s="45" t="s">
        <v>7</v>
      </c>
      <c r="J4" s="46" t="s">
        <v>144</v>
      </c>
      <c r="K4" s="46" t="s">
        <v>146</v>
      </c>
      <c r="L4" s="46" t="s">
        <v>145</v>
      </c>
      <c r="M4" s="47" t="s">
        <v>8</v>
      </c>
      <c r="N4" s="224" t="s">
        <v>73</v>
      </c>
      <c r="O4" s="40" t="s">
        <v>74</v>
      </c>
      <c r="P4" s="225" t="s">
        <v>75</v>
      </c>
      <c r="Q4" s="25" t="s">
        <v>142</v>
      </c>
      <c r="R4" s="25" t="s">
        <v>143</v>
      </c>
      <c r="S4" s="223" t="s">
        <v>124</v>
      </c>
      <c r="T4" s="223" t="s">
        <v>76</v>
      </c>
      <c r="U4" s="26" t="s">
        <v>114</v>
      </c>
      <c r="V4" s="133" t="s">
        <v>115</v>
      </c>
      <c r="Z4" s="6" t="s">
        <v>130</v>
      </c>
      <c r="AA4" s="6" t="s">
        <v>131</v>
      </c>
    </row>
    <row r="5" spans="1:27">
      <c r="A5" s="12" t="s">
        <v>9</v>
      </c>
      <c r="B5" s="13" t="s">
        <v>10</v>
      </c>
      <c r="C5" s="350">
        <v>7</v>
      </c>
      <c r="D5" s="18" t="s">
        <v>11</v>
      </c>
      <c r="E5" s="52"/>
      <c r="F5" s="53"/>
      <c r="G5" s="53"/>
      <c r="H5" s="54">
        <v>93</v>
      </c>
      <c r="I5" s="53"/>
      <c r="J5" s="53"/>
      <c r="K5" s="55">
        <v>9</v>
      </c>
      <c r="L5" s="53"/>
      <c r="M5" s="56"/>
      <c r="N5" s="98">
        <f>H5-K5</f>
        <v>84</v>
      </c>
      <c r="O5" s="177"/>
      <c r="P5" s="105">
        <f>N5*O5</f>
        <v>0</v>
      </c>
      <c r="Q5" s="106">
        <f>J5-O5</f>
        <v>0</v>
      </c>
      <c r="R5" s="106">
        <f>N5*Q5</f>
        <v>0</v>
      </c>
      <c r="S5" s="169"/>
      <c r="T5" s="124">
        <f t="shared" ref="T5:T36" si="0">S5*H5</f>
        <v>0</v>
      </c>
      <c r="U5" s="169"/>
      <c r="V5" s="134">
        <f>H5*U5</f>
        <v>0</v>
      </c>
      <c r="W5" s="49"/>
      <c r="Z5" s="51">
        <f>K5*O5</f>
        <v>0</v>
      </c>
      <c r="AA5" s="51">
        <f>K5*Q5</f>
        <v>0</v>
      </c>
    </row>
    <row r="6" spans="1:27">
      <c r="A6" s="12" t="s">
        <v>9</v>
      </c>
      <c r="B6" s="13" t="s">
        <v>12</v>
      </c>
      <c r="C6" s="350">
        <v>7</v>
      </c>
      <c r="D6" s="18" t="s">
        <v>11</v>
      </c>
      <c r="E6" s="57"/>
      <c r="F6" s="58"/>
      <c r="G6" s="58"/>
      <c r="H6" s="59">
        <v>40</v>
      </c>
      <c r="I6" s="58"/>
      <c r="J6" s="58"/>
      <c r="K6" s="60">
        <v>4</v>
      </c>
      <c r="L6" s="58"/>
      <c r="M6" s="61"/>
      <c r="N6" s="99">
        <f t="shared" ref="N6:N69" si="1">H6-K6</f>
        <v>36</v>
      </c>
      <c r="O6" s="178"/>
      <c r="P6" s="107">
        <f t="shared" ref="P6:P69" si="2">N6*O6</f>
        <v>0</v>
      </c>
      <c r="Q6" s="108">
        <f t="shared" ref="Q6:Q69" si="3">J6-O6</f>
        <v>0</v>
      </c>
      <c r="R6" s="108">
        <f t="shared" ref="R6:R69" si="4">N6*Q6</f>
        <v>0</v>
      </c>
      <c r="S6" s="170"/>
      <c r="T6" s="125">
        <f t="shared" si="0"/>
        <v>0</v>
      </c>
      <c r="U6" s="170"/>
      <c r="V6" s="135">
        <f t="shared" ref="V6:V69" si="5">H6*U6</f>
        <v>0</v>
      </c>
      <c r="W6" s="49"/>
      <c r="Z6" s="51">
        <f t="shared" ref="Z6:Z69" si="6">K6*O6</f>
        <v>0</v>
      </c>
      <c r="AA6" s="51">
        <f t="shared" ref="AA6:AA69" si="7">K6*Q6</f>
        <v>0</v>
      </c>
    </row>
    <row r="7" spans="1:27">
      <c r="A7" s="12" t="s">
        <v>9</v>
      </c>
      <c r="B7" s="13" t="s">
        <v>13</v>
      </c>
      <c r="C7" s="350">
        <v>7</v>
      </c>
      <c r="D7" s="18" t="s">
        <v>11</v>
      </c>
      <c r="E7" s="57"/>
      <c r="F7" s="58"/>
      <c r="G7" s="58"/>
      <c r="H7" s="59">
        <v>133</v>
      </c>
      <c r="I7" s="58"/>
      <c r="J7" s="58"/>
      <c r="K7" s="60">
        <v>13</v>
      </c>
      <c r="L7" s="58"/>
      <c r="M7" s="61"/>
      <c r="N7" s="99">
        <f t="shared" si="1"/>
        <v>120</v>
      </c>
      <c r="O7" s="178"/>
      <c r="P7" s="107">
        <f t="shared" si="2"/>
        <v>0</v>
      </c>
      <c r="Q7" s="108">
        <f t="shared" si="3"/>
        <v>0</v>
      </c>
      <c r="R7" s="108">
        <f t="shared" si="4"/>
        <v>0</v>
      </c>
      <c r="S7" s="170"/>
      <c r="T7" s="125">
        <f t="shared" si="0"/>
        <v>0</v>
      </c>
      <c r="U7" s="170"/>
      <c r="V7" s="135">
        <f t="shared" si="5"/>
        <v>0</v>
      </c>
      <c r="W7" s="49"/>
      <c r="Z7" s="51">
        <f t="shared" si="6"/>
        <v>0</v>
      </c>
      <c r="AA7" s="51">
        <f t="shared" si="7"/>
        <v>0</v>
      </c>
    </row>
    <row r="8" spans="1:27">
      <c r="A8" s="12" t="s">
        <v>9</v>
      </c>
      <c r="B8" s="13" t="s">
        <v>14</v>
      </c>
      <c r="C8" s="350">
        <v>7</v>
      </c>
      <c r="D8" s="18" t="s">
        <v>11</v>
      </c>
      <c r="E8" s="57"/>
      <c r="F8" s="58"/>
      <c r="G8" s="58"/>
      <c r="H8" s="59">
        <v>44</v>
      </c>
      <c r="I8" s="58"/>
      <c r="J8" s="58"/>
      <c r="K8" s="60">
        <v>4</v>
      </c>
      <c r="L8" s="58"/>
      <c r="M8" s="61"/>
      <c r="N8" s="99">
        <f t="shared" si="1"/>
        <v>40</v>
      </c>
      <c r="O8" s="178"/>
      <c r="P8" s="107">
        <f t="shared" si="2"/>
        <v>0</v>
      </c>
      <c r="Q8" s="108">
        <f t="shared" si="3"/>
        <v>0</v>
      </c>
      <c r="R8" s="108">
        <f t="shared" si="4"/>
        <v>0</v>
      </c>
      <c r="S8" s="170"/>
      <c r="T8" s="125">
        <f t="shared" si="0"/>
        <v>0</v>
      </c>
      <c r="U8" s="170"/>
      <c r="V8" s="135">
        <f t="shared" si="5"/>
        <v>0</v>
      </c>
      <c r="W8" s="49"/>
      <c r="Z8" s="51">
        <f t="shared" si="6"/>
        <v>0</v>
      </c>
      <c r="AA8" s="51">
        <f t="shared" si="7"/>
        <v>0</v>
      </c>
    </row>
    <row r="9" spans="1:27">
      <c r="A9" s="12" t="s">
        <v>9</v>
      </c>
      <c r="B9" s="13" t="s">
        <v>15</v>
      </c>
      <c r="C9" s="350">
        <v>7</v>
      </c>
      <c r="D9" s="18" t="s">
        <v>11</v>
      </c>
      <c r="E9" s="57"/>
      <c r="F9" s="58"/>
      <c r="G9" s="58"/>
      <c r="H9" s="59">
        <v>100</v>
      </c>
      <c r="I9" s="58"/>
      <c r="J9" s="58"/>
      <c r="K9" s="60">
        <v>10</v>
      </c>
      <c r="L9" s="58"/>
      <c r="M9" s="61"/>
      <c r="N9" s="99">
        <f t="shared" si="1"/>
        <v>90</v>
      </c>
      <c r="O9" s="178"/>
      <c r="P9" s="107">
        <f t="shared" si="2"/>
        <v>0</v>
      </c>
      <c r="Q9" s="108">
        <f t="shared" si="3"/>
        <v>0</v>
      </c>
      <c r="R9" s="108">
        <f t="shared" si="4"/>
        <v>0</v>
      </c>
      <c r="S9" s="170"/>
      <c r="T9" s="125">
        <f t="shared" si="0"/>
        <v>0</v>
      </c>
      <c r="U9" s="170"/>
      <c r="V9" s="135">
        <f t="shared" si="5"/>
        <v>0</v>
      </c>
      <c r="W9" s="49"/>
      <c r="Z9" s="51">
        <f t="shared" si="6"/>
        <v>0</v>
      </c>
      <c r="AA9" s="51">
        <f t="shared" si="7"/>
        <v>0</v>
      </c>
    </row>
    <row r="10" spans="1:27">
      <c r="A10" s="12" t="s">
        <v>9</v>
      </c>
      <c r="B10" s="13" t="s">
        <v>16</v>
      </c>
      <c r="C10" s="350">
        <v>7</v>
      </c>
      <c r="D10" s="18" t="s">
        <v>11</v>
      </c>
      <c r="E10" s="57"/>
      <c r="F10" s="58"/>
      <c r="G10" s="58"/>
      <c r="H10" s="59">
        <v>40</v>
      </c>
      <c r="I10" s="58"/>
      <c r="J10" s="58"/>
      <c r="K10" s="60">
        <v>4</v>
      </c>
      <c r="L10" s="58"/>
      <c r="M10" s="61"/>
      <c r="N10" s="99">
        <f t="shared" si="1"/>
        <v>36</v>
      </c>
      <c r="O10" s="178"/>
      <c r="P10" s="107">
        <f t="shared" si="2"/>
        <v>0</v>
      </c>
      <c r="Q10" s="108">
        <f t="shared" si="3"/>
        <v>0</v>
      </c>
      <c r="R10" s="108">
        <f t="shared" si="4"/>
        <v>0</v>
      </c>
      <c r="S10" s="170"/>
      <c r="T10" s="125">
        <f t="shared" si="0"/>
        <v>0</v>
      </c>
      <c r="U10" s="170"/>
      <c r="V10" s="135">
        <f t="shared" si="5"/>
        <v>0</v>
      </c>
      <c r="W10" s="49"/>
      <c r="Z10" s="51">
        <f t="shared" si="6"/>
        <v>0</v>
      </c>
      <c r="AA10" s="51">
        <f t="shared" si="7"/>
        <v>0</v>
      </c>
    </row>
    <row r="11" spans="1:27">
      <c r="A11" s="12" t="s">
        <v>9</v>
      </c>
      <c r="B11" s="13" t="s">
        <v>17</v>
      </c>
      <c r="C11" s="350">
        <v>7</v>
      </c>
      <c r="D11" s="18" t="s">
        <v>11</v>
      </c>
      <c r="E11" s="57"/>
      <c r="F11" s="58"/>
      <c r="G11" s="58"/>
      <c r="H11" s="59">
        <v>100</v>
      </c>
      <c r="I11" s="58"/>
      <c r="J11" s="58"/>
      <c r="K11" s="60">
        <v>10</v>
      </c>
      <c r="L11" s="58"/>
      <c r="M11" s="61"/>
      <c r="N11" s="99">
        <f t="shared" si="1"/>
        <v>90</v>
      </c>
      <c r="O11" s="178"/>
      <c r="P11" s="107">
        <f t="shared" si="2"/>
        <v>0</v>
      </c>
      <c r="Q11" s="108">
        <f t="shared" si="3"/>
        <v>0</v>
      </c>
      <c r="R11" s="108">
        <f t="shared" si="4"/>
        <v>0</v>
      </c>
      <c r="S11" s="170"/>
      <c r="T11" s="125">
        <f t="shared" si="0"/>
        <v>0</v>
      </c>
      <c r="U11" s="170"/>
      <c r="V11" s="135">
        <f t="shared" si="5"/>
        <v>0</v>
      </c>
      <c r="W11" s="49"/>
      <c r="Z11" s="51">
        <f t="shared" si="6"/>
        <v>0</v>
      </c>
      <c r="AA11" s="51">
        <f t="shared" si="7"/>
        <v>0</v>
      </c>
    </row>
    <row r="12" spans="1:27">
      <c r="A12" s="12" t="s">
        <v>9</v>
      </c>
      <c r="B12" s="13" t="s">
        <v>18</v>
      </c>
      <c r="C12" s="350">
        <v>7</v>
      </c>
      <c r="D12" s="18" t="s">
        <v>11</v>
      </c>
      <c r="E12" s="57"/>
      <c r="F12" s="58"/>
      <c r="G12" s="58"/>
      <c r="H12" s="59">
        <v>34</v>
      </c>
      <c r="I12" s="58"/>
      <c r="J12" s="58"/>
      <c r="K12" s="60">
        <v>3</v>
      </c>
      <c r="L12" s="58"/>
      <c r="M12" s="61"/>
      <c r="N12" s="99">
        <f t="shared" si="1"/>
        <v>31</v>
      </c>
      <c r="O12" s="178"/>
      <c r="P12" s="107">
        <f t="shared" si="2"/>
        <v>0</v>
      </c>
      <c r="Q12" s="108">
        <f t="shared" si="3"/>
        <v>0</v>
      </c>
      <c r="R12" s="108">
        <f t="shared" si="4"/>
        <v>0</v>
      </c>
      <c r="S12" s="170"/>
      <c r="T12" s="125">
        <f t="shared" si="0"/>
        <v>0</v>
      </c>
      <c r="U12" s="170"/>
      <c r="V12" s="135">
        <f t="shared" si="5"/>
        <v>0</v>
      </c>
      <c r="W12" s="49"/>
      <c r="Z12" s="51">
        <f t="shared" si="6"/>
        <v>0</v>
      </c>
      <c r="AA12" s="51">
        <f t="shared" si="7"/>
        <v>0</v>
      </c>
    </row>
    <row r="13" spans="1:27">
      <c r="A13" s="12" t="s">
        <v>9</v>
      </c>
      <c r="B13" s="13" t="s">
        <v>19</v>
      </c>
      <c r="C13" s="350">
        <v>7</v>
      </c>
      <c r="D13" s="18" t="s">
        <v>11</v>
      </c>
      <c r="E13" s="57"/>
      <c r="F13" s="58"/>
      <c r="G13" s="58"/>
      <c r="H13" s="59">
        <v>95</v>
      </c>
      <c r="I13" s="58"/>
      <c r="J13" s="58"/>
      <c r="K13" s="60">
        <v>9</v>
      </c>
      <c r="L13" s="58"/>
      <c r="M13" s="61"/>
      <c r="N13" s="99">
        <f t="shared" si="1"/>
        <v>86</v>
      </c>
      <c r="O13" s="178"/>
      <c r="P13" s="107">
        <f t="shared" si="2"/>
        <v>0</v>
      </c>
      <c r="Q13" s="108">
        <f t="shared" si="3"/>
        <v>0</v>
      </c>
      <c r="R13" s="108">
        <f t="shared" si="4"/>
        <v>0</v>
      </c>
      <c r="S13" s="170"/>
      <c r="T13" s="125">
        <f t="shared" si="0"/>
        <v>0</v>
      </c>
      <c r="U13" s="170"/>
      <c r="V13" s="135">
        <f t="shared" si="5"/>
        <v>0</v>
      </c>
      <c r="Z13" s="51">
        <f t="shared" si="6"/>
        <v>0</v>
      </c>
      <c r="AA13" s="51">
        <f t="shared" si="7"/>
        <v>0</v>
      </c>
    </row>
    <row r="14" spans="1:27">
      <c r="A14" s="12" t="s">
        <v>9</v>
      </c>
      <c r="B14" s="13" t="s">
        <v>20</v>
      </c>
      <c r="C14" s="350">
        <v>7</v>
      </c>
      <c r="D14" s="18" t="s">
        <v>11</v>
      </c>
      <c r="E14" s="57"/>
      <c r="F14" s="58"/>
      <c r="G14" s="58"/>
      <c r="H14" s="59">
        <v>67</v>
      </c>
      <c r="I14" s="58"/>
      <c r="J14" s="58"/>
      <c r="K14" s="60">
        <v>6</v>
      </c>
      <c r="L14" s="58"/>
      <c r="M14" s="61"/>
      <c r="N14" s="99">
        <f t="shared" si="1"/>
        <v>61</v>
      </c>
      <c r="O14" s="178"/>
      <c r="P14" s="107">
        <f t="shared" si="2"/>
        <v>0</v>
      </c>
      <c r="Q14" s="108">
        <f t="shared" si="3"/>
        <v>0</v>
      </c>
      <c r="R14" s="108">
        <f t="shared" si="4"/>
        <v>0</v>
      </c>
      <c r="S14" s="170"/>
      <c r="T14" s="125">
        <f t="shared" si="0"/>
        <v>0</v>
      </c>
      <c r="U14" s="170"/>
      <c r="V14" s="135">
        <f t="shared" si="5"/>
        <v>0</v>
      </c>
      <c r="Z14" s="51">
        <f t="shared" si="6"/>
        <v>0</v>
      </c>
      <c r="AA14" s="51">
        <f t="shared" si="7"/>
        <v>0</v>
      </c>
    </row>
    <row r="15" spans="1:27">
      <c r="A15" s="12" t="s">
        <v>9</v>
      </c>
      <c r="B15" s="13" t="s">
        <v>21</v>
      </c>
      <c r="C15" s="350">
        <v>7</v>
      </c>
      <c r="D15" s="18" t="s">
        <v>11</v>
      </c>
      <c r="E15" s="57"/>
      <c r="F15" s="58"/>
      <c r="G15" s="58"/>
      <c r="H15" s="59">
        <v>116</v>
      </c>
      <c r="I15" s="58"/>
      <c r="J15" s="58"/>
      <c r="K15" s="60">
        <v>11</v>
      </c>
      <c r="L15" s="58"/>
      <c r="M15" s="61"/>
      <c r="N15" s="99">
        <f t="shared" si="1"/>
        <v>105</v>
      </c>
      <c r="O15" s="178"/>
      <c r="P15" s="107">
        <f t="shared" si="2"/>
        <v>0</v>
      </c>
      <c r="Q15" s="108">
        <f t="shared" si="3"/>
        <v>0</v>
      </c>
      <c r="R15" s="108">
        <f t="shared" si="4"/>
        <v>0</v>
      </c>
      <c r="S15" s="170"/>
      <c r="T15" s="125">
        <f t="shared" si="0"/>
        <v>0</v>
      </c>
      <c r="U15" s="170"/>
      <c r="V15" s="135">
        <f t="shared" si="5"/>
        <v>0</v>
      </c>
      <c r="Z15" s="51">
        <f t="shared" si="6"/>
        <v>0</v>
      </c>
      <c r="AA15" s="51">
        <f t="shared" si="7"/>
        <v>0</v>
      </c>
    </row>
    <row r="16" spans="1:27">
      <c r="A16" s="12" t="s">
        <v>9</v>
      </c>
      <c r="B16" s="13" t="s">
        <v>22</v>
      </c>
      <c r="C16" s="350">
        <v>7</v>
      </c>
      <c r="D16" s="18" t="s">
        <v>11</v>
      </c>
      <c r="E16" s="57"/>
      <c r="F16" s="58"/>
      <c r="G16" s="58"/>
      <c r="H16" s="59">
        <v>74</v>
      </c>
      <c r="I16" s="58"/>
      <c r="J16" s="58"/>
      <c r="K16" s="60">
        <v>7</v>
      </c>
      <c r="L16" s="58"/>
      <c r="M16" s="61"/>
      <c r="N16" s="99">
        <f t="shared" si="1"/>
        <v>67</v>
      </c>
      <c r="O16" s="178"/>
      <c r="P16" s="107">
        <f t="shared" si="2"/>
        <v>0</v>
      </c>
      <c r="Q16" s="108">
        <f t="shared" si="3"/>
        <v>0</v>
      </c>
      <c r="R16" s="108">
        <f t="shared" si="4"/>
        <v>0</v>
      </c>
      <c r="S16" s="170"/>
      <c r="T16" s="125">
        <f t="shared" si="0"/>
        <v>0</v>
      </c>
      <c r="U16" s="170"/>
      <c r="V16" s="135">
        <f t="shared" si="5"/>
        <v>0</v>
      </c>
      <c r="W16" s="49"/>
      <c r="Z16" s="51">
        <f t="shared" si="6"/>
        <v>0</v>
      </c>
      <c r="AA16" s="51">
        <f t="shared" si="7"/>
        <v>0</v>
      </c>
    </row>
    <row r="17" spans="1:27">
      <c r="A17" s="12" t="s">
        <v>9</v>
      </c>
      <c r="B17" s="13" t="s">
        <v>23</v>
      </c>
      <c r="C17" s="350">
        <v>7</v>
      </c>
      <c r="D17" s="18" t="s">
        <v>11</v>
      </c>
      <c r="E17" s="57"/>
      <c r="F17" s="58"/>
      <c r="G17" s="58"/>
      <c r="H17" s="59">
        <v>35</v>
      </c>
      <c r="I17" s="58"/>
      <c r="J17" s="58"/>
      <c r="K17" s="60">
        <v>3</v>
      </c>
      <c r="L17" s="58"/>
      <c r="M17" s="61"/>
      <c r="N17" s="99">
        <f t="shared" si="1"/>
        <v>32</v>
      </c>
      <c r="O17" s="178"/>
      <c r="P17" s="107">
        <f t="shared" si="2"/>
        <v>0</v>
      </c>
      <c r="Q17" s="108">
        <f t="shared" si="3"/>
        <v>0</v>
      </c>
      <c r="R17" s="108">
        <f t="shared" si="4"/>
        <v>0</v>
      </c>
      <c r="S17" s="170"/>
      <c r="T17" s="125">
        <f t="shared" si="0"/>
        <v>0</v>
      </c>
      <c r="U17" s="170"/>
      <c r="V17" s="135">
        <f t="shared" si="5"/>
        <v>0</v>
      </c>
      <c r="W17" s="49"/>
      <c r="Z17" s="51">
        <f t="shared" si="6"/>
        <v>0</v>
      </c>
      <c r="AA17" s="51">
        <f t="shared" si="7"/>
        <v>0</v>
      </c>
    </row>
    <row r="18" spans="1:27">
      <c r="A18" s="12" t="s">
        <v>9</v>
      </c>
      <c r="B18" s="13" t="s">
        <v>24</v>
      </c>
      <c r="C18" s="350">
        <v>7</v>
      </c>
      <c r="D18" s="18" t="s">
        <v>11</v>
      </c>
      <c r="E18" s="57"/>
      <c r="F18" s="58"/>
      <c r="G18" s="58"/>
      <c r="H18" s="59">
        <v>127</v>
      </c>
      <c r="I18" s="58"/>
      <c r="J18" s="58"/>
      <c r="K18" s="60">
        <v>12</v>
      </c>
      <c r="L18" s="58"/>
      <c r="M18" s="61"/>
      <c r="N18" s="99">
        <f t="shared" si="1"/>
        <v>115</v>
      </c>
      <c r="O18" s="178"/>
      <c r="P18" s="107">
        <f t="shared" si="2"/>
        <v>0</v>
      </c>
      <c r="Q18" s="108">
        <f t="shared" si="3"/>
        <v>0</v>
      </c>
      <c r="R18" s="108">
        <f t="shared" si="4"/>
        <v>0</v>
      </c>
      <c r="S18" s="170"/>
      <c r="T18" s="125">
        <f t="shared" si="0"/>
        <v>0</v>
      </c>
      <c r="U18" s="170"/>
      <c r="V18" s="135">
        <f t="shared" si="5"/>
        <v>0</v>
      </c>
      <c r="Z18" s="51">
        <f t="shared" si="6"/>
        <v>0</v>
      </c>
      <c r="AA18" s="51">
        <f t="shared" si="7"/>
        <v>0</v>
      </c>
    </row>
    <row r="19" spans="1:27">
      <c r="A19" s="12" t="s">
        <v>9</v>
      </c>
      <c r="B19" s="13" t="s">
        <v>25</v>
      </c>
      <c r="C19" s="350">
        <v>7</v>
      </c>
      <c r="D19" s="18" t="s">
        <v>11</v>
      </c>
      <c r="E19" s="57"/>
      <c r="F19" s="58"/>
      <c r="G19" s="58"/>
      <c r="H19" s="59">
        <v>33</v>
      </c>
      <c r="I19" s="58"/>
      <c r="J19" s="58"/>
      <c r="K19" s="60">
        <v>3</v>
      </c>
      <c r="L19" s="58"/>
      <c r="M19" s="61"/>
      <c r="N19" s="99">
        <f t="shared" si="1"/>
        <v>30</v>
      </c>
      <c r="O19" s="178"/>
      <c r="P19" s="107">
        <f t="shared" si="2"/>
        <v>0</v>
      </c>
      <c r="Q19" s="108">
        <f t="shared" si="3"/>
        <v>0</v>
      </c>
      <c r="R19" s="108">
        <f t="shared" si="4"/>
        <v>0</v>
      </c>
      <c r="S19" s="170"/>
      <c r="T19" s="125">
        <f t="shared" si="0"/>
        <v>0</v>
      </c>
      <c r="U19" s="170"/>
      <c r="V19" s="135">
        <f t="shared" si="5"/>
        <v>0</v>
      </c>
      <c r="Z19" s="51">
        <f t="shared" si="6"/>
        <v>0</v>
      </c>
      <c r="AA19" s="51">
        <f t="shared" si="7"/>
        <v>0</v>
      </c>
    </row>
    <row r="20" spans="1:27">
      <c r="A20" s="12" t="s">
        <v>9</v>
      </c>
      <c r="B20" s="13" t="s">
        <v>10</v>
      </c>
      <c r="C20" s="350">
        <v>8</v>
      </c>
      <c r="D20" s="18" t="s">
        <v>26</v>
      </c>
      <c r="E20" s="57"/>
      <c r="F20" s="58"/>
      <c r="G20" s="58"/>
      <c r="H20" s="59">
        <v>100</v>
      </c>
      <c r="I20" s="58"/>
      <c r="J20" s="58"/>
      <c r="K20" s="60">
        <v>10</v>
      </c>
      <c r="L20" s="58"/>
      <c r="M20" s="61"/>
      <c r="N20" s="99">
        <f t="shared" si="1"/>
        <v>90</v>
      </c>
      <c r="O20" s="178"/>
      <c r="P20" s="107">
        <f t="shared" si="2"/>
        <v>0</v>
      </c>
      <c r="Q20" s="108">
        <f t="shared" si="3"/>
        <v>0</v>
      </c>
      <c r="R20" s="108">
        <f t="shared" si="4"/>
        <v>0</v>
      </c>
      <c r="S20" s="170"/>
      <c r="T20" s="125">
        <f t="shared" si="0"/>
        <v>0</v>
      </c>
      <c r="U20" s="170"/>
      <c r="V20" s="135">
        <f t="shared" si="5"/>
        <v>0</v>
      </c>
      <c r="W20" s="49"/>
      <c r="Z20" s="51">
        <f t="shared" si="6"/>
        <v>0</v>
      </c>
      <c r="AA20" s="51">
        <f t="shared" si="7"/>
        <v>0</v>
      </c>
    </row>
    <row r="21" spans="1:27">
      <c r="A21" s="12" t="s">
        <v>9</v>
      </c>
      <c r="B21" s="13" t="s">
        <v>12</v>
      </c>
      <c r="C21" s="350">
        <v>8</v>
      </c>
      <c r="D21" s="18" t="s">
        <v>26</v>
      </c>
      <c r="E21" s="57"/>
      <c r="F21" s="58"/>
      <c r="G21" s="58"/>
      <c r="H21" s="59">
        <v>40</v>
      </c>
      <c r="I21" s="58"/>
      <c r="J21" s="58"/>
      <c r="K21" s="60">
        <v>4</v>
      </c>
      <c r="L21" s="58"/>
      <c r="M21" s="61"/>
      <c r="N21" s="99">
        <f t="shared" si="1"/>
        <v>36</v>
      </c>
      <c r="O21" s="178"/>
      <c r="P21" s="107">
        <f t="shared" si="2"/>
        <v>0</v>
      </c>
      <c r="Q21" s="108">
        <f t="shared" si="3"/>
        <v>0</v>
      </c>
      <c r="R21" s="108">
        <f t="shared" si="4"/>
        <v>0</v>
      </c>
      <c r="S21" s="170"/>
      <c r="T21" s="125">
        <f t="shared" si="0"/>
        <v>0</v>
      </c>
      <c r="U21" s="170"/>
      <c r="V21" s="135">
        <f t="shared" si="5"/>
        <v>0</v>
      </c>
      <c r="W21" s="49"/>
      <c r="Z21" s="51">
        <f t="shared" si="6"/>
        <v>0</v>
      </c>
      <c r="AA21" s="51">
        <f t="shared" si="7"/>
        <v>0</v>
      </c>
    </row>
    <row r="22" spans="1:27">
      <c r="A22" s="12" t="s">
        <v>9</v>
      </c>
      <c r="B22" s="13" t="s">
        <v>13</v>
      </c>
      <c r="C22" s="350">
        <v>8</v>
      </c>
      <c r="D22" s="18" t="s">
        <v>26</v>
      </c>
      <c r="E22" s="57"/>
      <c r="F22" s="58"/>
      <c r="G22" s="58"/>
      <c r="H22" s="59">
        <v>119</v>
      </c>
      <c r="I22" s="58"/>
      <c r="J22" s="58"/>
      <c r="K22" s="60">
        <v>11</v>
      </c>
      <c r="L22" s="58"/>
      <c r="M22" s="61"/>
      <c r="N22" s="99">
        <f t="shared" si="1"/>
        <v>108</v>
      </c>
      <c r="O22" s="178"/>
      <c r="P22" s="107">
        <f t="shared" si="2"/>
        <v>0</v>
      </c>
      <c r="Q22" s="108">
        <f t="shared" si="3"/>
        <v>0</v>
      </c>
      <c r="R22" s="108">
        <f t="shared" si="4"/>
        <v>0</v>
      </c>
      <c r="S22" s="170"/>
      <c r="T22" s="125">
        <f t="shared" si="0"/>
        <v>0</v>
      </c>
      <c r="U22" s="170"/>
      <c r="V22" s="135">
        <f t="shared" si="5"/>
        <v>0</v>
      </c>
      <c r="W22" s="49"/>
      <c r="Z22" s="51">
        <f t="shared" si="6"/>
        <v>0</v>
      </c>
      <c r="AA22" s="51">
        <f t="shared" si="7"/>
        <v>0</v>
      </c>
    </row>
    <row r="23" spans="1:27">
      <c r="A23" s="12" t="s">
        <v>9</v>
      </c>
      <c r="B23" s="13" t="s">
        <v>14</v>
      </c>
      <c r="C23" s="350">
        <v>8</v>
      </c>
      <c r="D23" s="18" t="s">
        <v>26</v>
      </c>
      <c r="E23" s="57"/>
      <c r="F23" s="58"/>
      <c r="G23" s="58"/>
      <c r="H23" s="59">
        <v>39</v>
      </c>
      <c r="I23" s="58"/>
      <c r="J23" s="58"/>
      <c r="K23" s="60">
        <v>4</v>
      </c>
      <c r="L23" s="58"/>
      <c r="M23" s="61"/>
      <c r="N23" s="99">
        <f t="shared" si="1"/>
        <v>35</v>
      </c>
      <c r="O23" s="178"/>
      <c r="P23" s="107">
        <f t="shared" si="2"/>
        <v>0</v>
      </c>
      <c r="Q23" s="108">
        <f t="shared" si="3"/>
        <v>0</v>
      </c>
      <c r="R23" s="108">
        <f t="shared" si="4"/>
        <v>0</v>
      </c>
      <c r="S23" s="170"/>
      <c r="T23" s="125">
        <f t="shared" si="0"/>
        <v>0</v>
      </c>
      <c r="U23" s="170"/>
      <c r="V23" s="135">
        <f t="shared" si="5"/>
        <v>0</v>
      </c>
      <c r="W23" s="49"/>
      <c r="Z23" s="51">
        <f t="shared" si="6"/>
        <v>0</v>
      </c>
      <c r="AA23" s="51">
        <f t="shared" si="7"/>
        <v>0</v>
      </c>
    </row>
    <row r="24" spans="1:27">
      <c r="A24" s="12" t="s">
        <v>9</v>
      </c>
      <c r="B24" s="13" t="s">
        <v>15</v>
      </c>
      <c r="C24" s="350">
        <v>8</v>
      </c>
      <c r="D24" s="18" t="s">
        <v>26</v>
      </c>
      <c r="E24" s="57"/>
      <c r="F24" s="58"/>
      <c r="G24" s="58"/>
      <c r="H24" s="59">
        <v>95</v>
      </c>
      <c r="I24" s="58"/>
      <c r="J24" s="58"/>
      <c r="K24" s="60">
        <v>9</v>
      </c>
      <c r="L24" s="58"/>
      <c r="M24" s="61"/>
      <c r="N24" s="99">
        <f t="shared" si="1"/>
        <v>86</v>
      </c>
      <c r="O24" s="178"/>
      <c r="P24" s="107">
        <f t="shared" si="2"/>
        <v>0</v>
      </c>
      <c r="Q24" s="108">
        <f t="shared" si="3"/>
        <v>0</v>
      </c>
      <c r="R24" s="108">
        <f t="shared" si="4"/>
        <v>0</v>
      </c>
      <c r="S24" s="170"/>
      <c r="T24" s="125">
        <f t="shared" si="0"/>
        <v>0</v>
      </c>
      <c r="U24" s="170"/>
      <c r="V24" s="135">
        <f t="shared" si="5"/>
        <v>0</v>
      </c>
      <c r="W24" s="49"/>
      <c r="Z24" s="51">
        <f t="shared" si="6"/>
        <v>0</v>
      </c>
      <c r="AA24" s="51">
        <f t="shared" si="7"/>
        <v>0</v>
      </c>
    </row>
    <row r="25" spans="1:27">
      <c r="A25" s="12" t="s">
        <v>9</v>
      </c>
      <c r="B25" s="13" t="s">
        <v>16</v>
      </c>
      <c r="C25" s="350">
        <v>8</v>
      </c>
      <c r="D25" s="18" t="s">
        <v>26</v>
      </c>
      <c r="E25" s="57"/>
      <c r="F25" s="58"/>
      <c r="G25" s="58"/>
      <c r="H25" s="59">
        <v>37</v>
      </c>
      <c r="I25" s="58"/>
      <c r="J25" s="58"/>
      <c r="K25" s="60">
        <v>4</v>
      </c>
      <c r="L25" s="58"/>
      <c r="M25" s="61"/>
      <c r="N25" s="99">
        <f t="shared" si="1"/>
        <v>33</v>
      </c>
      <c r="O25" s="178"/>
      <c r="P25" s="107">
        <f t="shared" si="2"/>
        <v>0</v>
      </c>
      <c r="Q25" s="108">
        <f t="shared" si="3"/>
        <v>0</v>
      </c>
      <c r="R25" s="108">
        <f t="shared" si="4"/>
        <v>0</v>
      </c>
      <c r="S25" s="170"/>
      <c r="T25" s="125">
        <f t="shared" si="0"/>
        <v>0</v>
      </c>
      <c r="U25" s="170"/>
      <c r="V25" s="135">
        <f t="shared" si="5"/>
        <v>0</v>
      </c>
      <c r="W25" s="49"/>
      <c r="Z25" s="51">
        <f t="shared" si="6"/>
        <v>0</v>
      </c>
      <c r="AA25" s="51">
        <f t="shared" si="7"/>
        <v>0</v>
      </c>
    </row>
    <row r="26" spans="1:27">
      <c r="A26" s="12" t="s">
        <v>9</v>
      </c>
      <c r="B26" s="13" t="s">
        <v>17</v>
      </c>
      <c r="C26" s="350">
        <v>8</v>
      </c>
      <c r="D26" s="18" t="s">
        <v>26</v>
      </c>
      <c r="E26" s="57"/>
      <c r="F26" s="58"/>
      <c r="G26" s="58"/>
      <c r="H26" s="59">
        <v>100</v>
      </c>
      <c r="I26" s="58"/>
      <c r="J26" s="58"/>
      <c r="K26" s="60">
        <v>10</v>
      </c>
      <c r="L26" s="58"/>
      <c r="M26" s="61"/>
      <c r="N26" s="99">
        <f t="shared" si="1"/>
        <v>90</v>
      </c>
      <c r="O26" s="178"/>
      <c r="P26" s="107">
        <f t="shared" si="2"/>
        <v>0</v>
      </c>
      <c r="Q26" s="108">
        <f t="shared" si="3"/>
        <v>0</v>
      </c>
      <c r="R26" s="108">
        <f t="shared" si="4"/>
        <v>0</v>
      </c>
      <c r="S26" s="170"/>
      <c r="T26" s="125">
        <f t="shared" si="0"/>
        <v>0</v>
      </c>
      <c r="U26" s="170"/>
      <c r="V26" s="135">
        <f t="shared" si="5"/>
        <v>0</v>
      </c>
      <c r="W26" s="49"/>
      <c r="Z26" s="51">
        <f t="shared" si="6"/>
        <v>0</v>
      </c>
      <c r="AA26" s="51">
        <f t="shared" si="7"/>
        <v>0</v>
      </c>
    </row>
    <row r="27" spans="1:27">
      <c r="A27" s="12" t="s">
        <v>9</v>
      </c>
      <c r="B27" s="13" t="s">
        <v>18</v>
      </c>
      <c r="C27" s="350">
        <v>8</v>
      </c>
      <c r="D27" s="18" t="s">
        <v>26</v>
      </c>
      <c r="E27" s="57"/>
      <c r="F27" s="58"/>
      <c r="G27" s="58"/>
      <c r="H27" s="59">
        <v>38</v>
      </c>
      <c r="I27" s="58"/>
      <c r="J27" s="58"/>
      <c r="K27" s="60">
        <v>4</v>
      </c>
      <c r="L27" s="58"/>
      <c r="M27" s="61"/>
      <c r="N27" s="99">
        <f t="shared" si="1"/>
        <v>34</v>
      </c>
      <c r="O27" s="178"/>
      <c r="P27" s="107">
        <f t="shared" si="2"/>
        <v>0</v>
      </c>
      <c r="Q27" s="108">
        <f t="shared" si="3"/>
        <v>0</v>
      </c>
      <c r="R27" s="108">
        <f t="shared" si="4"/>
        <v>0</v>
      </c>
      <c r="S27" s="170"/>
      <c r="T27" s="125">
        <f t="shared" si="0"/>
        <v>0</v>
      </c>
      <c r="U27" s="170"/>
      <c r="V27" s="135">
        <f t="shared" si="5"/>
        <v>0</v>
      </c>
      <c r="W27" s="49"/>
      <c r="Z27" s="51">
        <f t="shared" si="6"/>
        <v>0</v>
      </c>
      <c r="AA27" s="51">
        <f t="shared" si="7"/>
        <v>0</v>
      </c>
    </row>
    <row r="28" spans="1:27">
      <c r="A28" s="12" t="s">
        <v>9</v>
      </c>
      <c r="B28" s="13" t="s">
        <v>19</v>
      </c>
      <c r="C28" s="350">
        <v>8</v>
      </c>
      <c r="D28" s="18" t="s">
        <v>26</v>
      </c>
      <c r="E28" s="57"/>
      <c r="F28" s="58"/>
      <c r="G28" s="58"/>
      <c r="H28" s="59">
        <v>96</v>
      </c>
      <c r="I28" s="58"/>
      <c r="J28" s="58"/>
      <c r="K28" s="60">
        <v>9</v>
      </c>
      <c r="L28" s="58"/>
      <c r="M28" s="61"/>
      <c r="N28" s="99">
        <f t="shared" si="1"/>
        <v>87</v>
      </c>
      <c r="O28" s="178"/>
      <c r="P28" s="107">
        <f t="shared" si="2"/>
        <v>0</v>
      </c>
      <c r="Q28" s="108">
        <f t="shared" si="3"/>
        <v>0</v>
      </c>
      <c r="R28" s="108">
        <f t="shared" si="4"/>
        <v>0</v>
      </c>
      <c r="S28" s="170"/>
      <c r="T28" s="125">
        <f t="shared" si="0"/>
        <v>0</v>
      </c>
      <c r="U28" s="170"/>
      <c r="V28" s="135">
        <f t="shared" si="5"/>
        <v>0</v>
      </c>
      <c r="Z28" s="51">
        <f t="shared" si="6"/>
        <v>0</v>
      </c>
      <c r="AA28" s="51">
        <f t="shared" si="7"/>
        <v>0</v>
      </c>
    </row>
    <row r="29" spans="1:27">
      <c r="A29" s="12" t="s">
        <v>9</v>
      </c>
      <c r="B29" s="13" t="s">
        <v>20</v>
      </c>
      <c r="C29" s="350">
        <v>8</v>
      </c>
      <c r="D29" s="18" t="s">
        <v>26</v>
      </c>
      <c r="E29" s="57"/>
      <c r="F29" s="58"/>
      <c r="G29" s="58"/>
      <c r="H29" s="59">
        <v>65</v>
      </c>
      <c r="I29" s="58"/>
      <c r="J29" s="58"/>
      <c r="K29" s="60">
        <v>6</v>
      </c>
      <c r="L29" s="58"/>
      <c r="M29" s="61"/>
      <c r="N29" s="99">
        <f t="shared" si="1"/>
        <v>59</v>
      </c>
      <c r="O29" s="178"/>
      <c r="P29" s="107">
        <f t="shared" si="2"/>
        <v>0</v>
      </c>
      <c r="Q29" s="108">
        <f t="shared" si="3"/>
        <v>0</v>
      </c>
      <c r="R29" s="108">
        <f t="shared" si="4"/>
        <v>0</v>
      </c>
      <c r="S29" s="170"/>
      <c r="T29" s="125">
        <f t="shared" si="0"/>
        <v>0</v>
      </c>
      <c r="U29" s="170"/>
      <c r="V29" s="135">
        <f t="shared" si="5"/>
        <v>0</v>
      </c>
      <c r="Z29" s="51">
        <f t="shared" si="6"/>
        <v>0</v>
      </c>
      <c r="AA29" s="51">
        <f t="shared" si="7"/>
        <v>0</v>
      </c>
    </row>
    <row r="30" spans="1:27">
      <c r="A30" s="12" t="s">
        <v>9</v>
      </c>
      <c r="B30" s="13" t="s">
        <v>21</v>
      </c>
      <c r="C30" s="350">
        <v>8</v>
      </c>
      <c r="D30" s="18" t="s">
        <v>26</v>
      </c>
      <c r="E30" s="57"/>
      <c r="F30" s="58"/>
      <c r="G30" s="58"/>
      <c r="H30" s="59">
        <v>116</v>
      </c>
      <c r="I30" s="58"/>
      <c r="J30" s="58"/>
      <c r="K30" s="60">
        <v>11</v>
      </c>
      <c r="L30" s="58"/>
      <c r="M30" s="61"/>
      <c r="N30" s="99">
        <f t="shared" si="1"/>
        <v>105</v>
      </c>
      <c r="O30" s="178"/>
      <c r="P30" s="107">
        <f t="shared" si="2"/>
        <v>0</v>
      </c>
      <c r="Q30" s="108">
        <f t="shared" si="3"/>
        <v>0</v>
      </c>
      <c r="R30" s="108">
        <f t="shared" si="4"/>
        <v>0</v>
      </c>
      <c r="S30" s="170"/>
      <c r="T30" s="125">
        <f t="shared" si="0"/>
        <v>0</v>
      </c>
      <c r="U30" s="170"/>
      <c r="V30" s="135">
        <f t="shared" si="5"/>
        <v>0</v>
      </c>
      <c r="Z30" s="51">
        <f t="shared" si="6"/>
        <v>0</v>
      </c>
      <c r="AA30" s="51">
        <f t="shared" si="7"/>
        <v>0</v>
      </c>
    </row>
    <row r="31" spans="1:27">
      <c r="A31" s="12" t="s">
        <v>9</v>
      </c>
      <c r="B31" s="13" t="s">
        <v>22</v>
      </c>
      <c r="C31" s="350">
        <v>8</v>
      </c>
      <c r="D31" s="18" t="s">
        <v>26</v>
      </c>
      <c r="E31" s="57"/>
      <c r="F31" s="58"/>
      <c r="G31" s="58"/>
      <c r="H31" s="59">
        <v>79</v>
      </c>
      <c r="I31" s="58"/>
      <c r="J31" s="58"/>
      <c r="K31" s="60">
        <v>8</v>
      </c>
      <c r="L31" s="58"/>
      <c r="M31" s="61"/>
      <c r="N31" s="99">
        <f t="shared" si="1"/>
        <v>71</v>
      </c>
      <c r="O31" s="178"/>
      <c r="P31" s="107">
        <f t="shared" si="2"/>
        <v>0</v>
      </c>
      <c r="Q31" s="108">
        <f t="shared" si="3"/>
        <v>0</v>
      </c>
      <c r="R31" s="108">
        <f t="shared" si="4"/>
        <v>0</v>
      </c>
      <c r="S31" s="170"/>
      <c r="T31" s="125">
        <f t="shared" si="0"/>
        <v>0</v>
      </c>
      <c r="U31" s="170"/>
      <c r="V31" s="135">
        <f t="shared" si="5"/>
        <v>0</v>
      </c>
      <c r="W31" s="49"/>
      <c r="Z31" s="51">
        <f t="shared" si="6"/>
        <v>0</v>
      </c>
      <c r="AA31" s="51">
        <f t="shared" si="7"/>
        <v>0</v>
      </c>
    </row>
    <row r="32" spans="1:27">
      <c r="A32" s="12" t="s">
        <v>9</v>
      </c>
      <c r="B32" s="13" t="s">
        <v>23</v>
      </c>
      <c r="C32" s="350">
        <v>8</v>
      </c>
      <c r="D32" s="18" t="s">
        <v>26</v>
      </c>
      <c r="E32" s="57"/>
      <c r="F32" s="58"/>
      <c r="G32" s="58"/>
      <c r="H32" s="59">
        <v>32</v>
      </c>
      <c r="I32" s="58"/>
      <c r="J32" s="58"/>
      <c r="K32" s="60">
        <v>3</v>
      </c>
      <c r="L32" s="58"/>
      <c r="M32" s="61"/>
      <c r="N32" s="99">
        <f t="shared" si="1"/>
        <v>29</v>
      </c>
      <c r="O32" s="178"/>
      <c r="P32" s="107">
        <f t="shared" si="2"/>
        <v>0</v>
      </c>
      <c r="Q32" s="108">
        <f t="shared" si="3"/>
        <v>0</v>
      </c>
      <c r="R32" s="108">
        <f t="shared" si="4"/>
        <v>0</v>
      </c>
      <c r="S32" s="170"/>
      <c r="T32" s="125">
        <f t="shared" si="0"/>
        <v>0</v>
      </c>
      <c r="U32" s="170"/>
      <c r="V32" s="135">
        <f t="shared" si="5"/>
        <v>0</v>
      </c>
      <c r="W32" s="49"/>
      <c r="Z32" s="51">
        <f t="shared" si="6"/>
        <v>0</v>
      </c>
      <c r="AA32" s="51">
        <f t="shared" si="7"/>
        <v>0</v>
      </c>
    </row>
    <row r="33" spans="1:27">
      <c r="A33" s="12" t="s">
        <v>9</v>
      </c>
      <c r="B33" s="13" t="s">
        <v>24</v>
      </c>
      <c r="C33" s="350">
        <v>8</v>
      </c>
      <c r="D33" s="18" t="s">
        <v>26</v>
      </c>
      <c r="E33" s="57"/>
      <c r="F33" s="58"/>
      <c r="G33" s="58"/>
      <c r="H33" s="59">
        <v>111</v>
      </c>
      <c r="I33" s="58"/>
      <c r="J33" s="58"/>
      <c r="K33" s="60">
        <v>11</v>
      </c>
      <c r="L33" s="58"/>
      <c r="M33" s="61"/>
      <c r="N33" s="99">
        <f t="shared" si="1"/>
        <v>100</v>
      </c>
      <c r="O33" s="178"/>
      <c r="P33" s="107">
        <f t="shared" si="2"/>
        <v>0</v>
      </c>
      <c r="Q33" s="108">
        <f t="shared" si="3"/>
        <v>0</v>
      </c>
      <c r="R33" s="108">
        <f t="shared" si="4"/>
        <v>0</v>
      </c>
      <c r="S33" s="170"/>
      <c r="T33" s="125">
        <f t="shared" si="0"/>
        <v>0</v>
      </c>
      <c r="U33" s="170"/>
      <c r="V33" s="135">
        <f t="shared" si="5"/>
        <v>0</v>
      </c>
      <c r="Z33" s="51">
        <f t="shared" si="6"/>
        <v>0</v>
      </c>
      <c r="AA33" s="51">
        <f t="shared" si="7"/>
        <v>0</v>
      </c>
    </row>
    <row r="34" spans="1:27">
      <c r="A34" s="12" t="s">
        <v>9</v>
      </c>
      <c r="B34" s="13" t="s">
        <v>25</v>
      </c>
      <c r="C34" s="350">
        <v>8</v>
      </c>
      <c r="D34" s="18" t="s">
        <v>26</v>
      </c>
      <c r="E34" s="57"/>
      <c r="F34" s="58"/>
      <c r="G34" s="58"/>
      <c r="H34" s="59">
        <v>38</v>
      </c>
      <c r="I34" s="58"/>
      <c r="J34" s="58"/>
      <c r="K34" s="60">
        <v>4</v>
      </c>
      <c r="L34" s="58"/>
      <c r="M34" s="61"/>
      <c r="N34" s="99">
        <f t="shared" si="1"/>
        <v>34</v>
      </c>
      <c r="O34" s="178"/>
      <c r="P34" s="107">
        <f t="shared" si="2"/>
        <v>0</v>
      </c>
      <c r="Q34" s="108">
        <f t="shared" si="3"/>
        <v>0</v>
      </c>
      <c r="R34" s="108">
        <f t="shared" si="4"/>
        <v>0</v>
      </c>
      <c r="S34" s="170"/>
      <c r="T34" s="125">
        <f t="shared" si="0"/>
        <v>0</v>
      </c>
      <c r="U34" s="170"/>
      <c r="V34" s="135">
        <f t="shared" si="5"/>
        <v>0</v>
      </c>
      <c r="Z34" s="51">
        <f t="shared" si="6"/>
        <v>0</v>
      </c>
      <c r="AA34" s="51">
        <f t="shared" si="7"/>
        <v>0</v>
      </c>
    </row>
    <row r="35" spans="1:27">
      <c r="A35" s="12" t="s">
        <v>9</v>
      </c>
      <c r="B35" s="13" t="s">
        <v>10</v>
      </c>
      <c r="C35" s="350">
        <v>9</v>
      </c>
      <c r="D35" s="18" t="s">
        <v>286</v>
      </c>
      <c r="E35" s="57"/>
      <c r="F35" s="58"/>
      <c r="G35" s="58"/>
      <c r="H35" s="59">
        <v>65</v>
      </c>
      <c r="I35" s="58"/>
      <c r="J35" s="58"/>
      <c r="K35" s="60">
        <v>6</v>
      </c>
      <c r="L35" s="58"/>
      <c r="M35" s="61"/>
      <c r="N35" s="99">
        <f t="shared" si="1"/>
        <v>59</v>
      </c>
      <c r="O35" s="178"/>
      <c r="P35" s="107">
        <f t="shared" si="2"/>
        <v>0</v>
      </c>
      <c r="Q35" s="108">
        <f t="shared" si="3"/>
        <v>0</v>
      </c>
      <c r="R35" s="108">
        <f t="shared" si="4"/>
        <v>0</v>
      </c>
      <c r="S35" s="170"/>
      <c r="T35" s="125">
        <f t="shared" si="0"/>
        <v>0</v>
      </c>
      <c r="U35" s="170"/>
      <c r="V35" s="135">
        <f t="shared" si="5"/>
        <v>0</v>
      </c>
      <c r="W35" s="49"/>
      <c r="Z35" s="51">
        <f t="shared" si="6"/>
        <v>0</v>
      </c>
      <c r="AA35" s="51">
        <f t="shared" si="7"/>
        <v>0</v>
      </c>
    </row>
    <row r="36" spans="1:27">
      <c r="A36" s="12" t="s">
        <v>9</v>
      </c>
      <c r="B36" s="13" t="s">
        <v>12</v>
      </c>
      <c r="C36" s="350">
        <v>9</v>
      </c>
      <c r="D36" s="18" t="s">
        <v>286</v>
      </c>
      <c r="E36" s="57"/>
      <c r="F36" s="58"/>
      <c r="G36" s="58"/>
      <c r="H36" s="59">
        <v>30</v>
      </c>
      <c r="I36" s="58"/>
      <c r="J36" s="58"/>
      <c r="K36" s="60">
        <v>3</v>
      </c>
      <c r="L36" s="58"/>
      <c r="M36" s="61"/>
      <c r="N36" s="99">
        <f t="shared" si="1"/>
        <v>27</v>
      </c>
      <c r="O36" s="178"/>
      <c r="P36" s="107">
        <f t="shared" si="2"/>
        <v>0</v>
      </c>
      <c r="Q36" s="108">
        <f t="shared" si="3"/>
        <v>0</v>
      </c>
      <c r="R36" s="108">
        <f t="shared" si="4"/>
        <v>0</v>
      </c>
      <c r="S36" s="170"/>
      <c r="T36" s="125">
        <f t="shared" si="0"/>
        <v>0</v>
      </c>
      <c r="U36" s="170"/>
      <c r="V36" s="135">
        <f t="shared" si="5"/>
        <v>0</v>
      </c>
      <c r="W36" s="49"/>
      <c r="Z36" s="51">
        <f t="shared" si="6"/>
        <v>0</v>
      </c>
      <c r="AA36" s="51">
        <f t="shared" si="7"/>
        <v>0</v>
      </c>
    </row>
    <row r="37" spans="1:27">
      <c r="A37" s="12" t="s">
        <v>9</v>
      </c>
      <c r="B37" s="13" t="s">
        <v>13</v>
      </c>
      <c r="C37" s="350">
        <v>9</v>
      </c>
      <c r="D37" s="18" t="s">
        <v>286</v>
      </c>
      <c r="E37" s="57"/>
      <c r="F37" s="58"/>
      <c r="G37" s="58"/>
      <c r="H37" s="59">
        <v>101</v>
      </c>
      <c r="I37" s="58"/>
      <c r="J37" s="58"/>
      <c r="K37" s="60">
        <v>10</v>
      </c>
      <c r="L37" s="58"/>
      <c r="M37" s="61"/>
      <c r="N37" s="99">
        <f t="shared" si="1"/>
        <v>91</v>
      </c>
      <c r="O37" s="178"/>
      <c r="P37" s="107">
        <f t="shared" si="2"/>
        <v>0</v>
      </c>
      <c r="Q37" s="108">
        <f t="shared" si="3"/>
        <v>0</v>
      </c>
      <c r="R37" s="108">
        <f t="shared" si="4"/>
        <v>0</v>
      </c>
      <c r="S37" s="170"/>
      <c r="T37" s="125">
        <f t="shared" ref="T37:T68" si="8">S37*H37</f>
        <v>0</v>
      </c>
      <c r="U37" s="170"/>
      <c r="V37" s="135">
        <f t="shared" si="5"/>
        <v>0</v>
      </c>
      <c r="W37" s="49"/>
      <c r="Z37" s="51">
        <f t="shared" si="6"/>
        <v>0</v>
      </c>
      <c r="AA37" s="51">
        <f t="shared" si="7"/>
        <v>0</v>
      </c>
    </row>
    <row r="38" spans="1:27">
      <c r="A38" s="12" t="s">
        <v>9</v>
      </c>
      <c r="B38" s="13" t="s">
        <v>14</v>
      </c>
      <c r="C38" s="350">
        <v>9</v>
      </c>
      <c r="D38" s="18" t="s">
        <v>286</v>
      </c>
      <c r="E38" s="57"/>
      <c r="F38" s="58"/>
      <c r="G38" s="58"/>
      <c r="H38" s="59">
        <v>23</v>
      </c>
      <c r="I38" s="58"/>
      <c r="J38" s="58"/>
      <c r="K38" s="60">
        <v>2</v>
      </c>
      <c r="L38" s="58"/>
      <c r="M38" s="61"/>
      <c r="N38" s="99">
        <f t="shared" si="1"/>
        <v>21</v>
      </c>
      <c r="O38" s="178"/>
      <c r="P38" s="107">
        <f t="shared" si="2"/>
        <v>0</v>
      </c>
      <c r="Q38" s="108">
        <f t="shared" si="3"/>
        <v>0</v>
      </c>
      <c r="R38" s="108">
        <f t="shared" si="4"/>
        <v>0</v>
      </c>
      <c r="S38" s="170"/>
      <c r="T38" s="125">
        <f t="shared" si="8"/>
        <v>0</v>
      </c>
      <c r="U38" s="170"/>
      <c r="V38" s="135">
        <f t="shared" si="5"/>
        <v>0</v>
      </c>
      <c r="W38" s="49"/>
      <c r="Z38" s="51">
        <f t="shared" si="6"/>
        <v>0</v>
      </c>
      <c r="AA38" s="51">
        <f t="shared" si="7"/>
        <v>0</v>
      </c>
    </row>
    <row r="39" spans="1:27">
      <c r="A39" s="12" t="s">
        <v>9</v>
      </c>
      <c r="B39" s="13" t="s">
        <v>15</v>
      </c>
      <c r="C39" s="350">
        <v>9</v>
      </c>
      <c r="D39" s="18" t="s">
        <v>286</v>
      </c>
      <c r="E39" s="57"/>
      <c r="F39" s="58"/>
      <c r="G39" s="58"/>
      <c r="H39" s="59">
        <v>72</v>
      </c>
      <c r="I39" s="58"/>
      <c r="J39" s="58"/>
      <c r="K39" s="60">
        <v>7</v>
      </c>
      <c r="L39" s="58"/>
      <c r="M39" s="61"/>
      <c r="N39" s="99">
        <f t="shared" si="1"/>
        <v>65</v>
      </c>
      <c r="O39" s="178"/>
      <c r="P39" s="107">
        <f t="shared" si="2"/>
        <v>0</v>
      </c>
      <c r="Q39" s="108">
        <f t="shared" si="3"/>
        <v>0</v>
      </c>
      <c r="R39" s="108">
        <f t="shared" si="4"/>
        <v>0</v>
      </c>
      <c r="S39" s="170"/>
      <c r="T39" s="125">
        <f t="shared" si="8"/>
        <v>0</v>
      </c>
      <c r="U39" s="170"/>
      <c r="V39" s="135">
        <f t="shared" si="5"/>
        <v>0</v>
      </c>
      <c r="W39" s="49"/>
      <c r="Z39" s="51">
        <f t="shared" si="6"/>
        <v>0</v>
      </c>
      <c r="AA39" s="51">
        <f t="shared" si="7"/>
        <v>0</v>
      </c>
    </row>
    <row r="40" spans="1:27">
      <c r="A40" s="12" t="s">
        <v>9</v>
      </c>
      <c r="B40" s="13" t="s">
        <v>16</v>
      </c>
      <c r="C40" s="350">
        <v>9</v>
      </c>
      <c r="D40" s="18" t="s">
        <v>286</v>
      </c>
      <c r="E40" s="57"/>
      <c r="F40" s="58"/>
      <c r="G40" s="58"/>
      <c r="H40" s="59">
        <v>26</v>
      </c>
      <c r="I40" s="58"/>
      <c r="J40" s="58"/>
      <c r="K40" s="60">
        <v>3</v>
      </c>
      <c r="L40" s="58"/>
      <c r="M40" s="61"/>
      <c r="N40" s="99">
        <f t="shared" si="1"/>
        <v>23</v>
      </c>
      <c r="O40" s="178"/>
      <c r="P40" s="107">
        <f t="shared" si="2"/>
        <v>0</v>
      </c>
      <c r="Q40" s="108">
        <f t="shared" si="3"/>
        <v>0</v>
      </c>
      <c r="R40" s="108">
        <f t="shared" si="4"/>
        <v>0</v>
      </c>
      <c r="S40" s="170"/>
      <c r="T40" s="125">
        <f t="shared" si="8"/>
        <v>0</v>
      </c>
      <c r="U40" s="170"/>
      <c r="V40" s="135">
        <f t="shared" si="5"/>
        <v>0</v>
      </c>
      <c r="W40" s="49"/>
      <c r="Z40" s="51">
        <f t="shared" si="6"/>
        <v>0</v>
      </c>
      <c r="AA40" s="51">
        <f t="shared" si="7"/>
        <v>0</v>
      </c>
    </row>
    <row r="41" spans="1:27">
      <c r="A41" s="12" t="s">
        <v>9</v>
      </c>
      <c r="B41" s="13" t="s">
        <v>17</v>
      </c>
      <c r="C41" s="350">
        <v>9</v>
      </c>
      <c r="D41" s="18" t="s">
        <v>286</v>
      </c>
      <c r="E41" s="57"/>
      <c r="F41" s="58"/>
      <c r="G41" s="58"/>
      <c r="H41" s="59">
        <v>74</v>
      </c>
      <c r="I41" s="58"/>
      <c r="J41" s="58"/>
      <c r="K41" s="60">
        <v>7</v>
      </c>
      <c r="L41" s="58"/>
      <c r="M41" s="61"/>
      <c r="N41" s="99">
        <f t="shared" si="1"/>
        <v>67</v>
      </c>
      <c r="O41" s="178"/>
      <c r="P41" s="107">
        <f t="shared" si="2"/>
        <v>0</v>
      </c>
      <c r="Q41" s="108">
        <f t="shared" si="3"/>
        <v>0</v>
      </c>
      <c r="R41" s="108">
        <f t="shared" si="4"/>
        <v>0</v>
      </c>
      <c r="S41" s="170"/>
      <c r="T41" s="125">
        <f t="shared" si="8"/>
        <v>0</v>
      </c>
      <c r="U41" s="170"/>
      <c r="V41" s="135">
        <f t="shared" si="5"/>
        <v>0</v>
      </c>
      <c r="W41" s="49"/>
      <c r="Z41" s="51">
        <f t="shared" si="6"/>
        <v>0</v>
      </c>
      <c r="AA41" s="51">
        <f t="shared" si="7"/>
        <v>0</v>
      </c>
    </row>
    <row r="42" spans="1:27">
      <c r="A42" s="12" t="s">
        <v>9</v>
      </c>
      <c r="B42" s="13" t="s">
        <v>18</v>
      </c>
      <c r="C42" s="350">
        <v>9</v>
      </c>
      <c r="D42" s="18" t="s">
        <v>286</v>
      </c>
      <c r="E42" s="57"/>
      <c r="F42" s="58"/>
      <c r="G42" s="58"/>
      <c r="H42" s="59">
        <v>32</v>
      </c>
      <c r="I42" s="58"/>
      <c r="J42" s="58"/>
      <c r="K42" s="60">
        <v>3</v>
      </c>
      <c r="L42" s="58"/>
      <c r="M42" s="61"/>
      <c r="N42" s="99">
        <f t="shared" si="1"/>
        <v>29</v>
      </c>
      <c r="O42" s="178"/>
      <c r="P42" s="107">
        <f t="shared" si="2"/>
        <v>0</v>
      </c>
      <c r="Q42" s="108">
        <f t="shared" si="3"/>
        <v>0</v>
      </c>
      <c r="R42" s="108">
        <f t="shared" si="4"/>
        <v>0</v>
      </c>
      <c r="S42" s="170"/>
      <c r="T42" s="125">
        <f t="shared" si="8"/>
        <v>0</v>
      </c>
      <c r="U42" s="170"/>
      <c r="V42" s="135">
        <f t="shared" si="5"/>
        <v>0</v>
      </c>
      <c r="W42" s="49"/>
      <c r="Z42" s="51">
        <f t="shared" si="6"/>
        <v>0</v>
      </c>
      <c r="AA42" s="51">
        <f t="shared" si="7"/>
        <v>0</v>
      </c>
    </row>
    <row r="43" spans="1:27">
      <c r="A43" s="12" t="s">
        <v>9</v>
      </c>
      <c r="B43" s="13" t="s">
        <v>19</v>
      </c>
      <c r="C43" s="350">
        <v>9</v>
      </c>
      <c r="D43" s="18" t="s">
        <v>286</v>
      </c>
      <c r="E43" s="57"/>
      <c r="F43" s="58"/>
      <c r="G43" s="58"/>
      <c r="H43" s="59">
        <v>88</v>
      </c>
      <c r="I43" s="58"/>
      <c r="J43" s="58"/>
      <c r="K43" s="60">
        <v>8</v>
      </c>
      <c r="L43" s="58"/>
      <c r="M43" s="61"/>
      <c r="N43" s="99">
        <f t="shared" si="1"/>
        <v>80</v>
      </c>
      <c r="O43" s="178"/>
      <c r="P43" s="107">
        <f t="shared" si="2"/>
        <v>0</v>
      </c>
      <c r="Q43" s="108">
        <f t="shared" si="3"/>
        <v>0</v>
      </c>
      <c r="R43" s="108">
        <f t="shared" si="4"/>
        <v>0</v>
      </c>
      <c r="S43" s="170"/>
      <c r="T43" s="125">
        <f t="shared" si="8"/>
        <v>0</v>
      </c>
      <c r="U43" s="170"/>
      <c r="V43" s="135">
        <f t="shared" si="5"/>
        <v>0</v>
      </c>
      <c r="Z43" s="51">
        <f t="shared" si="6"/>
        <v>0</v>
      </c>
      <c r="AA43" s="51">
        <f t="shared" si="7"/>
        <v>0</v>
      </c>
    </row>
    <row r="44" spans="1:27">
      <c r="A44" s="12" t="s">
        <v>9</v>
      </c>
      <c r="B44" s="13" t="s">
        <v>20</v>
      </c>
      <c r="C44" s="350">
        <v>9</v>
      </c>
      <c r="D44" s="18" t="s">
        <v>286</v>
      </c>
      <c r="E44" s="57"/>
      <c r="F44" s="58"/>
      <c r="G44" s="58"/>
      <c r="H44" s="59">
        <v>58</v>
      </c>
      <c r="I44" s="58"/>
      <c r="J44" s="58"/>
      <c r="K44" s="60">
        <v>6</v>
      </c>
      <c r="L44" s="58"/>
      <c r="M44" s="61"/>
      <c r="N44" s="99">
        <f t="shared" si="1"/>
        <v>52</v>
      </c>
      <c r="O44" s="178"/>
      <c r="P44" s="107">
        <f t="shared" si="2"/>
        <v>0</v>
      </c>
      <c r="Q44" s="108">
        <f t="shared" si="3"/>
        <v>0</v>
      </c>
      <c r="R44" s="108">
        <f t="shared" si="4"/>
        <v>0</v>
      </c>
      <c r="S44" s="170"/>
      <c r="T44" s="125">
        <f t="shared" si="8"/>
        <v>0</v>
      </c>
      <c r="U44" s="170"/>
      <c r="V44" s="135">
        <f t="shared" si="5"/>
        <v>0</v>
      </c>
      <c r="Z44" s="51">
        <f t="shared" si="6"/>
        <v>0</v>
      </c>
      <c r="AA44" s="51">
        <f t="shared" si="7"/>
        <v>0</v>
      </c>
    </row>
    <row r="45" spans="1:27">
      <c r="A45" s="12" t="s">
        <v>9</v>
      </c>
      <c r="B45" s="13" t="s">
        <v>21</v>
      </c>
      <c r="C45" s="350">
        <v>9</v>
      </c>
      <c r="D45" s="18" t="s">
        <v>286</v>
      </c>
      <c r="E45" s="57"/>
      <c r="F45" s="58"/>
      <c r="G45" s="58"/>
      <c r="H45" s="59">
        <v>116</v>
      </c>
      <c r="I45" s="58"/>
      <c r="J45" s="58"/>
      <c r="K45" s="60">
        <v>11</v>
      </c>
      <c r="L45" s="58"/>
      <c r="M45" s="61"/>
      <c r="N45" s="99">
        <f t="shared" si="1"/>
        <v>105</v>
      </c>
      <c r="O45" s="178"/>
      <c r="P45" s="107">
        <f t="shared" si="2"/>
        <v>0</v>
      </c>
      <c r="Q45" s="108">
        <f t="shared" si="3"/>
        <v>0</v>
      </c>
      <c r="R45" s="108">
        <f t="shared" si="4"/>
        <v>0</v>
      </c>
      <c r="S45" s="170"/>
      <c r="T45" s="125">
        <f t="shared" si="8"/>
        <v>0</v>
      </c>
      <c r="U45" s="170"/>
      <c r="V45" s="135">
        <f t="shared" si="5"/>
        <v>0</v>
      </c>
      <c r="Z45" s="51">
        <f t="shared" si="6"/>
        <v>0</v>
      </c>
      <c r="AA45" s="51">
        <f t="shared" si="7"/>
        <v>0</v>
      </c>
    </row>
    <row r="46" spans="1:27">
      <c r="A46" s="12" t="s">
        <v>9</v>
      </c>
      <c r="B46" s="13" t="s">
        <v>22</v>
      </c>
      <c r="C46" s="350">
        <v>9</v>
      </c>
      <c r="D46" s="18" t="s">
        <v>286</v>
      </c>
      <c r="E46" s="57"/>
      <c r="F46" s="58"/>
      <c r="G46" s="58"/>
      <c r="H46" s="59">
        <v>58</v>
      </c>
      <c r="I46" s="58"/>
      <c r="J46" s="58"/>
      <c r="K46" s="60">
        <v>6</v>
      </c>
      <c r="L46" s="58"/>
      <c r="M46" s="61"/>
      <c r="N46" s="99">
        <f t="shared" si="1"/>
        <v>52</v>
      </c>
      <c r="O46" s="178"/>
      <c r="P46" s="107">
        <f t="shared" si="2"/>
        <v>0</v>
      </c>
      <c r="Q46" s="108">
        <f t="shared" si="3"/>
        <v>0</v>
      </c>
      <c r="R46" s="108">
        <f t="shared" si="4"/>
        <v>0</v>
      </c>
      <c r="S46" s="170"/>
      <c r="T46" s="125">
        <f t="shared" si="8"/>
        <v>0</v>
      </c>
      <c r="U46" s="170"/>
      <c r="V46" s="135">
        <f t="shared" si="5"/>
        <v>0</v>
      </c>
      <c r="W46" s="49"/>
      <c r="Z46" s="51">
        <f t="shared" si="6"/>
        <v>0</v>
      </c>
      <c r="AA46" s="51">
        <f t="shared" si="7"/>
        <v>0</v>
      </c>
    </row>
    <row r="47" spans="1:27">
      <c r="A47" s="12" t="s">
        <v>9</v>
      </c>
      <c r="B47" s="13" t="s">
        <v>23</v>
      </c>
      <c r="C47" s="350">
        <v>9</v>
      </c>
      <c r="D47" s="18" t="s">
        <v>286</v>
      </c>
      <c r="E47" s="57"/>
      <c r="F47" s="58"/>
      <c r="G47" s="58"/>
      <c r="H47" s="59">
        <v>23</v>
      </c>
      <c r="I47" s="58"/>
      <c r="J47" s="58"/>
      <c r="K47" s="60">
        <v>2</v>
      </c>
      <c r="L47" s="58"/>
      <c r="M47" s="61"/>
      <c r="N47" s="99">
        <f t="shared" si="1"/>
        <v>21</v>
      </c>
      <c r="O47" s="178"/>
      <c r="P47" s="107">
        <f t="shared" si="2"/>
        <v>0</v>
      </c>
      <c r="Q47" s="108">
        <f t="shared" si="3"/>
        <v>0</v>
      </c>
      <c r="R47" s="108">
        <f t="shared" si="4"/>
        <v>0</v>
      </c>
      <c r="S47" s="170"/>
      <c r="T47" s="125">
        <f t="shared" si="8"/>
        <v>0</v>
      </c>
      <c r="U47" s="170"/>
      <c r="V47" s="135">
        <f t="shared" si="5"/>
        <v>0</v>
      </c>
      <c r="W47" s="49"/>
      <c r="Z47" s="51">
        <f t="shared" si="6"/>
        <v>0</v>
      </c>
      <c r="AA47" s="51">
        <f t="shared" si="7"/>
        <v>0</v>
      </c>
    </row>
    <row r="48" spans="1:27">
      <c r="A48" s="12" t="s">
        <v>9</v>
      </c>
      <c r="B48" s="13" t="s">
        <v>24</v>
      </c>
      <c r="C48" s="350">
        <v>9</v>
      </c>
      <c r="D48" s="18" t="s">
        <v>286</v>
      </c>
      <c r="E48" s="57"/>
      <c r="F48" s="58"/>
      <c r="G48" s="58"/>
      <c r="H48" s="59">
        <v>121</v>
      </c>
      <c r="I48" s="58"/>
      <c r="J48" s="58"/>
      <c r="K48" s="60">
        <v>12</v>
      </c>
      <c r="L48" s="58"/>
      <c r="M48" s="61"/>
      <c r="N48" s="99">
        <f t="shared" si="1"/>
        <v>109</v>
      </c>
      <c r="O48" s="178"/>
      <c r="P48" s="107">
        <f t="shared" si="2"/>
        <v>0</v>
      </c>
      <c r="Q48" s="108">
        <f t="shared" si="3"/>
        <v>0</v>
      </c>
      <c r="R48" s="108">
        <f t="shared" si="4"/>
        <v>0</v>
      </c>
      <c r="S48" s="170"/>
      <c r="T48" s="125">
        <f t="shared" si="8"/>
        <v>0</v>
      </c>
      <c r="U48" s="170"/>
      <c r="V48" s="135">
        <f t="shared" si="5"/>
        <v>0</v>
      </c>
      <c r="Z48" s="51">
        <f t="shared" si="6"/>
        <v>0</v>
      </c>
      <c r="AA48" s="51">
        <f t="shared" si="7"/>
        <v>0</v>
      </c>
    </row>
    <row r="49" spans="1:27">
      <c r="A49" s="12" t="s">
        <v>9</v>
      </c>
      <c r="B49" s="13" t="s">
        <v>25</v>
      </c>
      <c r="C49" s="350">
        <v>9</v>
      </c>
      <c r="D49" s="18" t="s">
        <v>286</v>
      </c>
      <c r="E49" s="57"/>
      <c r="F49" s="58"/>
      <c r="G49" s="58"/>
      <c r="H49" s="59">
        <v>38</v>
      </c>
      <c r="I49" s="58"/>
      <c r="J49" s="58"/>
      <c r="K49" s="60">
        <v>4</v>
      </c>
      <c r="L49" s="58"/>
      <c r="M49" s="61"/>
      <c r="N49" s="99">
        <f t="shared" si="1"/>
        <v>34</v>
      </c>
      <c r="O49" s="178"/>
      <c r="P49" s="107">
        <f t="shared" si="2"/>
        <v>0</v>
      </c>
      <c r="Q49" s="108">
        <f t="shared" si="3"/>
        <v>0</v>
      </c>
      <c r="R49" s="108">
        <f t="shared" si="4"/>
        <v>0</v>
      </c>
      <c r="S49" s="170"/>
      <c r="T49" s="125">
        <f t="shared" si="8"/>
        <v>0</v>
      </c>
      <c r="U49" s="170"/>
      <c r="V49" s="135">
        <f t="shared" si="5"/>
        <v>0</v>
      </c>
      <c r="Z49" s="51">
        <f t="shared" si="6"/>
        <v>0</v>
      </c>
      <c r="AA49" s="51">
        <f t="shared" si="7"/>
        <v>0</v>
      </c>
    </row>
    <row r="50" spans="1:27">
      <c r="A50" s="8" t="s">
        <v>27</v>
      </c>
      <c r="B50" s="14" t="s">
        <v>28</v>
      </c>
      <c r="C50" s="351">
        <v>7</v>
      </c>
      <c r="D50" s="19" t="s">
        <v>11</v>
      </c>
      <c r="E50" s="62"/>
      <c r="F50" s="63"/>
      <c r="G50" s="63"/>
      <c r="H50" s="64">
        <v>93</v>
      </c>
      <c r="I50" s="63"/>
      <c r="J50" s="63"/>
      <c r="K50" s="65">
        <v>9</v>
      </c>
      <c r="L50" s="63"/>
      <c r="M50" s="66"/>
      <c r="N50" s="100">
        <f t="shared" si="1"/>
        <v>84</v>
      </c>
      <c r="O50" s="179"/>
      <c r="P50" s="109">
        <f t="shared" si="2"/>
        <v>0</v>
      </c>
      <c r="Q50" s="110">
        <f t="shared" si="3"/>
        <v>0</v>
      </c>
      <c r="R50" s="110">
        <f t="shared" si="4"/>
        <v>0</v>
      </c>
      <c r="S50" s="171"/>
      <c r="T50" s="126">
        <f t="shared" si="8"/>
        <v>0</v>
      </c>
      <c r="U50" s="171"/>
      <c r="V50" s="136">
        <f t="shared" si="5"/>
        <v>0</v>
      </c>
      <c r="W50" s="49"/>
      <c r="Z50" s="51">
        <f t="shared" si="6"/>
        <v>0</v>
      </c>
      <c r="AA50" s="51">
        <f t="shared" si="7"/>
        <v>0</v>
      </c>
    </row>
    <row r="51" spans="1:27">
      <c r="A51" s="8" t="s">
        <v>27</v>
      </c>
      <c r="B51" s="14" t="s">
        <v>29</v>
      </c>
      <c r="C51" s="351">
        <v>7</v>
      </c>
      <c r="D51" s="19" t="s">
        <v>11</v>
      </c>
      <c r="E51" s="62"/>
      <c r="F51" s="63"/>
      <c r="G51" s="63"/>
      <c r="H51" s="64">
        <v>51</v>
      </c>
      <c r="I51" s="63"/>
      <c r="J51" s="63"/>
      <c r="K51" s="65">
        <v>5</v>
      </c>
      <c r="L51" s="63"/>
      <c r="M51" s="66"/>
      <c r="N51" s="100">
        <f t="shared" si="1"/>
        <v>46</v>
      </c>
      <c r="O51" s="179"/>
      <c r="P51" s="109">
        <f t="shared" si="2"/>
        <v>0</v>
      </c>
      <c r="Q51" s="110">
        <f t="shared" si="3"/>
        <v>0</v>
      </c>
      <c r="R51" s="110">
        <f t="shared" si="4"/>
        <v>0</v>
      </c>
      <c r="S51" s="171"/>
      <c r="T51" s="126">
        <f t="shared" si="8"/>
        <v>0</v>
      </c>
      <c r="U51" s="171"/>
      <c r="V51" s="136">
        <f t="shared" si="5"/>
        <v>0</v>
      </c>
      <c r="W51" s="49"/>
      <c r="Z51" s="51">
        <f t="shared" si="6"/>
        <v>0</v>
      </c>
      <c r="AA51" s="51">
        <f t="shared" si="7"/>
        <v>0</v>
      </c>
    </row>
    <row r="52" spans="1:27">
      <c r="A52" s="8" t="s">
        <v>27</v>
      </c>
      <c r="B52" s="14" t="s">
        <v>30</v>
      </c>
      <c r="C52" s="351">
        <v>7</v>
      </c>
      <c r="D52" s="19" t="s">
        <v>11</v>
      </c>
      <c r="E52" s="62"/>
      <c r="F52" s="63"/>
      <c r="G52" s="63"/>
      <c r="H52" s="64">
        <v>111</v>
      </c>
      <c r="I52" s="63"/>
      <c r="J52" s="63"/>
      <c r="K52" s="65">
        <v>11</v>
      </c>
      <c r="L52" s="63"/>
      <c r="M52" s="66"/>
      <c r="N52" s="100">
        <f t="shared" si="1"/>
        <v>100</v>
      </c>
      <c r="O52" s="179"/>
      <c r="P52" s="109">
        <f t="shared" si="2"/>
        <v>0</v>
      </c>
      <c r="Q52" s="110">
        <f t="shared" si="3"/>
        <v>0</v>
      </c>
      <c r="R52" s="110">
        <f t="shared" si="4"/>
        <v>0</v>
      </c>
      <c r="S52" s="171"/>
      <c r="T52" s="126">
        <f t="shared" si="8"/>
        <v>0</v>
      </c>
      <c r="U52" s="171"/>
      <c r="V52" s="136">
        <f t="shared" si="5"/>
        <v>0</v>
      </c>
      <c r="W52" s="49"/>
      <c r="Z52" s="51">
        <f t="shared" si="6"/>
        <v>0</v>
      </c>
      <c r="AA52" s="51">
        <f t="shared" si="7"/>
        <v>0</v>
      </c>
    </row>
    <row r="53" spans="1:27">
      <c r="A53" s="8" t="s">
        <v>27</v>
      </c>
      <c r="B53" s="14" t="s">
        <v>31</v>
      </c>
      <c r="C53" s="351">
        <v>7</v>
      </c>
      <c r="D53" s="19" t="s">
        <v>11</v>
      </c>
      <c r="E53" s="62"/>
      <c r="F53" s="63"/>
      <c r="G53" s="63"/>
      <c r="H53" s="64">
        <v>40</v>
      </c>
      <c r="I53" s="63"/>
      <c r="J53" s="63"/>
      <c r="K53" s="65">
        <v>4</v>
      </c>
      <c r="L53" s="63"/>
      <c r="M53" s="66"/>
      <c r="N53" s="100">
        <f t="shared" si="1"/>
        <v>36</v>
      </c>
      <c r="O53" s="179"/>
      <c r="P53" s="109">
        <f t="shared" si="2"/>
        <v>0</v>
      </c>
      <c r="Q53" s="110">
        <f t="shared" si="3"/>
        <v>0</v>
      </c>
      <c r="R53" s="110">
        <f t="shared" si="4"/>
        <v>0</v>
      </c>
      <c r="S53" s="171"/>
      <c r="T53" s="126">
        <f t="shared" si="8"/>
        <v>0</v>
      </c>
      <c r="U53" s="171"/>
      <c r="V53" s="136">
        <f t="shared" si="5"/>
        <v>0</v>
      </c>
      <c r="W53" s="49"/>
      <c r="Z53" s="51">
        <f t="shared" si="6"/>
        <v>0</v>
      </c>
      <c r="AA53" s="51">
        <f t="shared" si="7"/>
        <v>0</v>
      </c>
    </row>
    <row r="54" spans="1:27">
      <c r="A54" s="8" t="s">
        <v>27</v>
      </c>
      <c r="B54" s="14" t="s">
        <v>32</v>
      </c>
      <c r="C54" s="351">
        <v>7</v>
      </c>
      <c r="D54" s="19" t="s">
        <v>11</v>
      </c>
      <c r="E54" s="62"/>
      <c r="F54" s="63"/>
      <c r="G54" s="63"/>
      <c r="H54" s="64">
        <v>88</v>
      </c>
      <c r="I54" s="63"/>
      <c r="J54" s="63"/>
      <c r="K54" s="65">
        <v>8</v>
      </c>
      <c r="L54" s="63"/>
      <c r="M54" s="66"/>
      <c r="N54" s="100">
        <f t="shared" si="1"/>
        <v>80</v>
      </c>
      <c r="O54" s="179"/>
      <c r="P54" s="109">
        <f t="shared" si="2"/>
        <v>0</v>
      </c>
      <c r="Q54" s="110">
        <f t="shared" si="3"/>
        <v>0</v>
      </c>
      <c r="R54" s="110">
        <f t="shared" si="4"/>
        <v>0</v>
      </c>
      <c r="S54" s="171"/>
      <c r="T54" s="126">
        <f t="shared" si="8"/>
        <v>0</v>
      </c>
      <c r="U54" s="171"/>
      <c r="V54" s="136">
        <f t="shared" si="5"/>
        <v>0</v>
      </c>
      <c r="W54" s="49"/>
      <c r="Z54" s="51">
        <f t="shared" si="6"/>
        <v>0</v>
      </c>
      <c r="AA54" s="51">
        <f t="shared" si="7"/>
        <v>0</v>
      </c>
    </row>
    <row r="55" spans="1:27">
      <c r="A55" s="8" t="s">
        <v>27</v>
      </c>
      <c r="B55" s="14" t="s">
        <v>33</v>
      </c>
      <c r="C55" s="351">
        <v>7</v>
      </c>
      <c r="D55" s="19" t="s">
        <v>11</v>
      </c>
      <c r="E55" s="62"/>
      <c r="F55" s="63"/>
      <c r="G55" s="63"/>
      <c r="H55" s="64">
        <v>36</v>
      </c>
      <c r="I55" s="63"/>
      <c r="J55" s="63"/>
      <c r="K55" s="65">
        <v>3</v>
      </c>
      <c r="L55" s="63"/>
      <c r="M55" s="66"/>
      <c r="N55" s="100">
        <f t="shared" si="1"/>
        <v>33</v>
      </c>
      <c r="O55" s="179"/>
      <c r="P55" s="109">
        <f t="shared" si="2"/>
        <v>0</v>
      </c>
      <c r="Q55" s="110">
        <f t="shared" si="3"/>
        <v>0</v>
      </c>
      <c r="R55" s="110">
        <f t="shared" si="4"/>
        <v>0</v>
      </c>
      <c r="S55" s="171"/>
      <c r="T55" s="126">
        <f t="shared" si="8"/>
        <v>0</v>
      </c>
      <c r="U55" s="171"/>
      <c r="V55" s="136">
        <f t="shared" si="5"/>
        <v>0</v>
      </c>
      <c r="W55" s="49"/>
      <c r="Z55" s="51">
        <f t="shared" si="6"/>
        <v>0</v>
      </c>
      <c r="AA55" s="51">
        <f t="shared" si="7"/>
        <v>0</v>
      </c>
    </row>
    <row r="56" spans="1:27">
      <c r="A56" s="8" t="s">
        <v>27</v>
      </c>
      <c r="B56" s="14" t="s">
        <v>34</v>
      </c>
      <c r="C56" s="351">
        <v>7</v>
      </c>
      <c r="D56" s="19" t="s">
        <v>11</v>
      </c>
      <c r="E56" s="62"/>
      <c r="F56" s="63"/>
      <c r="G56" s="63"/>
      <c r="H56" s="64">
        <v>96</v>
      </c>
      <c r="I56" s="63"/>
      <c r="J56" s="63"/>
      <c r="K56" s="65">
        <v>9</v>
      </c>
      <c r="L56" s="63"/>
      <c r="M56" s="66"/>
      <c r="N56" s="100">
        <f t="shared" si="1"/>
        <v>87</v>
      </c>
      <c r="O56" s="179"/>
      <c r="P56" s="109">
        <f t="shared" si="2"/>
        <v>0</v>
      </c>
      <c r="Q56" s="110">
        <f t="shared" si="3"/>
        <v>0</v>
      </c>
      <c r="R56" s="110">
        <f t="shared" si="4"/>
        <v>0</v>
      </c>
      <c r="S56" s="171"/>
      <c r="T56" s="126">
        <f t="shared" si="8"/>
        <v>0</v>
      </c>
      <c r="U56" s="171"/>
      <c r="V56" s="136">
        <f t="shared" si="5"/>
        <v>0</v>
      </c>
      <c r="W56" s="49"/>
      <c r="Z56" s="51">
        <f t="shared" si="6"/>
        <v>0</v>
      </c>
      <c r="AA56" s="51">
        <f t="shared" si="7"/>
        <v>0</v>
      </c>
    </row>
    <row r="57" spans="1:27">
      <c r="A57" s="8" t="s">
        <v>27</v>
      </c>
      <c r="B57" s="14" t="s">
        <v>35</v>
      </c>
      <c r="C57" s="351">
        <v>7</v>
      </c>
      <c r="D57" s="19" t="s">
        <v>11</v>
      </c>
      <c r="E57" s="62"/>
      <c r="F57" s="63"/>
      <c r="G57" s="63"/>
      <c r="H57" s="64">
        <v>31</v>
      </c>
      <c r="I57" s="63"/>
      <c r="J57" s="63"/>
      <c r="K57" s="65">
        <v>3</v>
      </c>
      <c r="L57" s="63"/>
      <c r="M57" s="66"/>
      <c r="N57" s="100">
        <f t="shared" si="1"/>
        <v>28</v>
      </c>
      <c r="O57" s="179"/>
      <c r="P57" s="109">
        <f t="shared" si="2"/>
        <v>0</v>
      </c>
      <c r="Q57" s="110">
        <f t="shared" si="3"/>
        <v>0</v>
      </c>
      <c r="R57" s="110">
        <f t="shared" si="4"/>
        <v>0</v>
      </c>
      <c r="S57" s="171"/>
      <c r="T57" s="126">
        <f t="shared" si="8"/>
        <v>0</v>
      </c>
      <c r="U57" s="171"/>
      <c r="V57" s="136">
        <f t="shared" si="5"/>
        <v>0</v>
      </c>
      <c r="W57" s="49"/>
      <c r="Z57" s="51">
        <f t="shared" si="6"/>
        <v>0</v>
      </c>
      <c r="AA57" s="51">
        <f t="shared" si="7"/>
        <v>0</v>
      </c>
    </row>
    <row r="58" spans="1:27">
      <c r="A58" s="8" t="s">
        <v>27</v>
      </c>
      <c r="B58" s="14" t="s">
        <v>36</v>
      </c>
      <c r="C58" s="351">
        <v>7</v>
      </c>
      <c r="D58" s="19" t="s">
        <v>11</v>
      </c>
      <c r="E58" s="62"/>
      <c r="F58" s="63"/>
      <c r="G58" s="63"/>
      <c r="H58" s="64">
        <v>106</v>
      </c>
      <c r="I58" s="63"/>
      <c r="J58" s="63"/>
      <c r="K58" s="65">
        <v>10</v>
      </c>
      <c r="L58" s="63"/>
      <c r="M58" s="66"/>
      <c r="N58" s="100">
        <f t="shared" si="1"/>
        <v>96</v>
      </c>
      <c r="O58" s="179"/>
      <c r="P58" s="109">
        <f t="shared" si="2"/>
        <v>0</v>
      </c>
      <c r="Q58" s="110">
        <f t="shared" si="3"/>
        <v>0</v>
      </c>
      <c r="R58" s="110">
        <f t="shared" si="4"/>
        <v>0</v>
      </c>
      <c r="S58" s="171"/>
      <c r="T58" s="126">
        <f t="shared" si="8"/>
        <v>0</v>
      </c>
      <c r="U58" s="171"/>
      <c r="V58" s="136">
        <f t="shared" si="5"/>
        <v>0</v>
      </c>
      <c r="Z58" s="51">
        <f t="shared" si="6"/>
        <v>0</v>
      </c>
      <c r="AA58" s="51">
        <f t="shared" si="7"/>
        <v>0</v>
      </c>
    </row>
    <row r="59" spans="1:27">
      <c r="A59" s="8" t="s">
        <v>27</v>
      </c>
      <c r="B59" s="14" t="s">
        <v>37</v>
      </c>
      <c r="C59" s="351">
        <v>7</v>
      </c>
      <c r="D59" s="19" t="s">
        <v>11</v>
      </c>
      <c r="E59" s="62"/>
      <c r="F59" s="63"/>
      <c r="G59" s="63"/>
      <c r="H59" s="64">
        <v>53</v>
      </c>
      <c r="I59" s="63"/>
      <c r="J59" s="63"/>
      <c r="K59" s="65">
        <v>5</v>
      </c>
      <c r="L59" s="63"/>
      <c r="M59" s="66"/>
      <c r="N59" s="100">
        <f t="shared" si="1"/>
        <v>48</v>
      </c>
      <c r="O59" s="179"/>
      <c r="P59" s="109">
        <f t="shared" si="2"/>
        <v>0</v>
      </c>
      <c r="Q59" s="110">
        <f t="shared" si="3"/>
        <v>0</v>
      </c>
      <c r="R59" s="110">
        <f t="shared" si="4"/>
        <v>0</v>
      </c>
      <c r="S59" s="171"/>
      <c r="T59" s="126">
        <f t="shared" si="8"/>
        <v>0</v>
      </c>
      <c r="U59" s="171"/>
      <c r="V59" s="136">
        <f t="shared" si="5"/>
        <v>0</v>
      </c>
      <c r="Z59" s="51">
        <f t="shared" si="6"/>
        <v>0</v>
      </c>
      <c r="AA59" s="51">
        <f t="shared" si="7"/>
        <v>0</v>
      </c>
    </row>
    <row r="60" spans="1:27">
      <c r="A60" s="8" t="s">
        <v>27</v>
      </c>
      <c r="B60" s="14" t="s">
        <v>38</v>
      </c>
      <c r="C60" s="351">
        <v>7</v>
      </c>
      <c r="D60" s="19" t="s">
        <v>11</v>
      </c>
      <c r="E60" s="62"/>
      <c r="F60" s="63"/>
      <c r="G60" s="63"/>
      <c r="H60" s="64">
        <v>117</v>
      </c>
      <c r="I60" s="63"/>
      <c r="J60" s="63"/>
      <c r="K60" s="65">
        <v>11</v>
      </c>
      <c r="L60" s="63"/>
      <c r="M60" s="66"/>
      <c r="N60" s="100">
        <f t="shared" si="1"/>
        <v>106</v>
      </c>
      <c r="O60" s="179"/>
      <c r="P60" s="109">
        <f t="shared" si="2"/>
        <v>0</v>
      </c>
      <c r="Q60" s="110">
        <f t="shared" si="3"/>
        <v>0</v>
      </c>
      <c r="R60" s="110">
        <f t="shared" si="4"/>
        <v>0</v>
      </c>
      <c r="S60" s="171"/>
      <c r="T60" s="126">
        <f t="shared" si="8"/>
        <v>0</v>
      </c>
      <c r="U60" s="171"/>
      <c r="V60" s="136">
        <f t="shared" si="5"/>
        <v>0</v>
      </c>
      <c r="Z60" s="51">
        <f t="shared" si="6"/>
        <v>0</v>
      </c>
      <c r="AA60" s="51">
        <f t="shared" si="7"/>
        <v>0</v>
      </c>
    </row>
    <row r="61" spans="1:27">
      <c r="A61" s="8" t="s">
        <v>27</v>
      </c>
      <c r="B61" s="14" t="s">
        <v>39</v>
      </c>
      <c r="C61" s="351">
        <v>7</v>
      </c>
      <c r="D61" s="19" t="s">
        <v>11</v>
      </c>
      <c r="E61" s="62"/>
      <c r="F61" s="63"/>
      <c r="G61" s="63"/>
      <c r="H61" s="64">
        <v>136</v>
      </c>
      <c r="I61" s="63"/>
      <c r="J61" s="63"/>
      <c r="K61" s="65">
        <v>13</v>
      </c>
      <c r="L61" s="63"/>
      <c r="M61" s="66"/>
      <c r="N61" s="100">
        <f t="shared" si="1"/>
        <v>123</v>
      </c>
      <c r="O61" s="179"/>
      <c r="P61" s="109">
        <f t="shared" si="2"/>
        <v>0</v>
      </c>
      <c r="Q61" s="110">
        <f t="shared" si="3"/>
        <v>0</v>
      </c>
      <c r="R61" s="110">
        <f t="shared" si="4"/>
        <v>0</v>
      </c>
      <c r="S61" s="171"/>
      <c r="T61" s="126">
        <f t="shared" si="8"/>
        <v>0</v>
      </c>
      <c r="U61" s="171"/>
      <c r="V61" s="136">
        <f t="shared" si="5"/>
        <v>0</v>
      </c>
      <c r="Z61" s="51">
        <f t="shared" si="6"/>
        <v>0</v>
      </c>
      <c r="AA61" s="51">
        <f t="shared" si="7"/>
        <v>0</v>
      </c>
    </row>
    <row r="62" spans="1:27">
      <c r="A62" s="8" t="s">
        <v>27</v>
      </c>
      <c r="B62" s="14" t="s">
        <v>40</v>
      </c>
      <c r="C62" s="351">
        <v>7</v>
      </c>
      <c r="D62" s="19" t="s">
        <v>11</v>
      </c>
      <c r="E62" s="62"/>
      <c r="F62" s="63"/>
      <c r="G62" s="63"/>
      <c r="H62" s="64">
        <v>55</v>
      </c>
      <c r="I62" s="63"/>
      <c r="J62" s="63"/>
      <c r="K62" s="65">
        <v>5</v>
      </c>
      <c r="L62" s="63"/>
      <c r="M62" s="66"/>
      <c r="N62" s="100">
        <f t="shared" si="1"/>
        <v>50</v>
      </c>
      <c r="O62" s="179"/>
      <c r="P62" s="109">
        <f t="shared" si="2"/>
        <v>0</v>
      </c>
      <c r="Q62" s="110">
        <f t="shared" si="3"/>
        <v>0</v>
      </c>
      <c r="R62" s="110">
        <f t="shared" si="4"/>
        <v>0</v>
      </c>
      <c r="S62" s="171"/>
      <c r="T62" s="126">
        <f t="shared" si="8"/>
        <v>0</v>
      </c>
      <c r="U62" s="171"/>
      <c r="V62" s="136">
        <f t="shared" si="5"/>
        <v>0</v>
      </c>
      <c r="Z62" s="51">
        <f t="shared" si="6"/>
        <v>0</v>
      </c>
      <c r="AA62" s="51">
        <f t="shared" si="7"/>
        <v>0</v>
      </c>
    </row>
    <row r="63" spans="1:27">
      <c r="A63" s="8" t="s">
        <v>27</v>
      </c>
      <c r="B63" s="14" t="s">
        <v>28</v>
      </c>
      <c r="C63" s="351">
        <v>8</v>
      </c>
      <c r="D63" s="19" t="s">
        <v>26</v>
      </c>
      <c r="E63" s="62"/>
      <c r="F63" s="63"/>
      <c r="G63" s="63"/>
      <c r="H63" s="64">
        <v>102</v>
      </c>
      <c r="I63" s="63"/>
      <c r="J63" s="63"/>
      <c r="K63" s="65">
        <v>10</v>
      </c>
      <c r="L63" s="63"/>
      <c r="M63" s="66"/>
      <c r="N63" s="100">
        <f t="shared" si="1"/>
        <v>92</v>
      </c>
      <c r="O63" s="179"/>
      <c r="P63" s="109">
        <f t="shared" si="2"/>
        <v>0</v>
      </c>
      <c r="Q63" s="110">
        <f t="shared" si="3"/>
        <v>0</v>
      </c>
      <c r="R63" s="110">
        <f t="shared" si="4"/>
        <v>0</v>
      </c>
      <c r="S63" s="171"/>
      <c r="T63" s="126">
        <f t="shared" si="8"/>
        <v>0</v>
      </c>
      <c r="U63" s="171"/>
      <c r="V63" s="136">
        <f t="shared" si="5"/>
        <v>0</v>
      </c>
      <c r="W63" s="49"/>
      <c r="Z63" s="51">
        <f t="shared" si="6"/>
        <v>0</v>
      </c>
      <c r="AA63" s="51">
        <f t="shared" si="7"/>
        <v>0</v>
      </c>
    </row>
    <row r="64" spans="1:27">
      <c r="A64" s="8" t="s">
        <v>27</v>
      </c>
      <c r="B64" s="14" t="s">
        <v>29</v>
      </c>
      <c r="C64" s="351">
        <v>8</v>
      </c>
      <c r="D64" s="19" t="s">
        <v>26</v>
      </c>
      <c r="E64" s="62"/>
      <c r="F64" s="63"/>
      <c r="G64" s="63"/>
      <c r="H64" s="64">
        <v>56</v>
      </c>
      <c r="I64" s="63"/>
      <c r="J64" s="63"/>
      <c r="K64" s="65">
        <v>5</v>
      </c>
      <c r="L64" s="63"/>
      <c r="M64" s="66"/>
      <c r="N64" s="100">
        <f t="shared" si="1"/>
        <v>51</v>
      </c>
      <c r="O64" s="179"/>
      <c r="P64" s="109">
        <f t="shared" si="2"/>
        <v>0</v>
      </c>
      <c r="Q64" s="110">
        <f t="shared" si="3"/>
        <v>0</v>
      </c>
      <c r="R64" s="110">
        <f t="shared" si="4"/>
        <v>0</v>
      </c>
      <c r="S64" s="171"/>
      <c r="T64" s="126">
        <f t="shared" si="8"/>
        <v>0</v>
      </c>
      <c r="U64" s="171"/>
      <c r="V64" s="136">
        <f t="shared" si="5"/>
        <v>0</v>
      </c>
      <c r="W64" s="49"/>
      <c r="Z64" s="51">
        <f t="shared" si="6"/>
        <v>0</v>
      </c>
      <c r="AA64" s="51">
        <f t="shared" si="7"/>
        <v>0</v>
      </c>
    </row>
    <row r="65" spans="1:27">
      <c r="A65" s="8" t="s">
        <v>27</v>
      </c>
      <c r="B65" s="14" t="s">
        <v>30</v>
      </c>
      <c r="C65" s="351">
        <v>8</v>
      </c>
      <c r="D65" s="19" t="s">
        <v>26</v>
      </c>
      <c r="E65" s="62"/>
      <c r="F65" s="63"/>
      <c r="G65" s="63"/>
      <c r="H65" s="64">
        <v>114</v>
      </c>
      <c r="I65" s="63"/>
      <c r="J65" s="63"/>
      <c r="K65" s="65">
        <v>11</v>
      </c>
      <c r="L65" s="63"/>
      <c r="M65" s="66"/>
      <c r="N65" s="100">
        <f t="shared" si="1"/>
        <v>103</v>
      </c>
      <c r="O65" s="179"/>
      <c r="P65" s="109">
        <f t="shared" si="2"/>
        <v>0</v>
      </c>
      <c r="Q65" s="110">
        <f t="shared" si="3"/>
        <v>0</v>
      </c>
      <c r="R65" s="110">
        <f t="shared" si="4"/>
        <v>0</v>
      </c>
      <c r="S65" s="171"/>
      <c r="T65" s="126">
        <f t="shared" si="8"/>
        <v>0</v>
      </c>
      <c r="U65" s="171"/>
      <c r="V65" s="136">
        <f t="shared" si="5"/>
        <v>0</v>
      </c>
      <c r="W65" s="49"/>
      <c r="Z65" s="51">
        <f t="shared" si="6"/>
        <v>0</v>
      </c>
      <c r="AA65" s="51">
        <f t="shared" si="7"/>
        <v>0</v>
      </c>
    </row>
    <row r="66" spans="1:27">
      <c r="A66" s="8" t="s">
        <v>27</v>
      </c>
      <c r="B66" s="14" t="s">
        <v>31</v>
      </c>
      <c r="C66" s="351">
        <v>8</v>
      </c>
      <c r="D66" s="19" t="s">
        <v>26</v>
      </c>
      <c r="E66" s="62"/>
      <c r="F66" s="63"/>
      <c r="G66" s="63"/>
      <c r="H66" s="64">
        <v>35</v>
      </c>
      <c r="I66" s="63"/>
      <c r="J66" s="63"/>
      <c r="K66" s="65">
        <v>3</v>
      </c>
      <c r="L66" s="63"/>
      <c r="M66" s="66"/>
      <c r="N66" s="100">
        <f t="shared" si="1"/>
        <v>32</v>
      </c>
      <c r="O66" s="179"/>
      <c r="P66" s="109">
        <f t="shared" si="2"/>
        <v>0</v>
      </c>
      <c r="Q66" s="110">
        <f t="shared" si="3"/>
        <v>0</v>
      </c>
      <c r="R66" s="110">
        <f t="shared" si="4"/>
        <v>0</v>
      </c>
      <c r="S66" s="171"/>
      <c r="T66" s="126">
        <f t="shared" si="8"/>
        <v>0</v>
      </c>
      <c r="U66" s="171"/>
      <c r="V66" s="136">
        <f t="shared" si="5"/>
        <v>0</v>
      </c>
      <c r="W66" s="49"/>
      <c r="Z66" s="51">
        <f t="shared" si="6"/>
        <v>0</v>
      </c>
      <c r="AA66" s="51">
        <f t="shared" si="7"/>
        <v>0</v>
      </c>
    </row>
    <row r="67" spans="1:27">
      <c r="A67" s="8" t="s">
        <v>27</v>
      </c>
      <c r="B67" s="14" t="s">
        <v>32</v>
      </c>
      <c r="C67" s="351">
        <v>8</v>
      </c>
      <c r="D67" s="19" t="s">
        <v>26</v>
      </c>
      <c r="E67" s="62"/>
      <c r="F67" s="63"/>
      <c r="G67" s="63"/>
      <c r="H67" s="64">
        <v>95</v>
      </c>
      <c r="I67" s="63"/>
      <c r="J67" s="63"/>
      <c r="K67" s="65">
        <v>9</v>
      </c>
      <c r="L67" s="63"/>
      <c r="M67" s="66"/>
      <c r="N67" s="100">
        <f t="shared" si="1"/>
        <v>86</v>
      </c>
      <c r="O67" s="179"/>
      <c r="P67" s="109">
        <f t="shared" si="2"/>
        <v>0</v>
      </c>
      <c r="Q67" s="110">
        <f t="shared" si="3"/>
        <v>0</v>
      </c>
      <c r="R67" s="110">
        <f t="shared" si="4"/>
        <v>0</v>
      </c>
      <c r="S67" s="171"/>
      <c r="T67" s="126">
        <f t="shared" si="8"/>
        <v>0</v>
      </c>
      <c r="U67" s="171"/>
      <c r="V67" s="136">
        <f t="shared" si="5"/>
        <v>0</v>
      </c>
      <c r="W67" s="49"/>
      <c r="Z67" s="51">
        <f t="shared" si="6"/>
        <v>0</v>
      </c>
      <c r="AA67" s="51">
        <f t="shared" si="7"/>
        <v>0</v>
      </c>
    </row>
    <row r="68" spans="1:27">
      <c r="A68" s="8" t="s">
        <v>27</v>
      </c>
      <c r="B68" s="14" t="s">
        <v>33</v>
      </c>
      <c r="C68" s="351">
        <v>8</v>
      </c>
      <c r="D68" s="19" t="s">
        <v>26</v>
      </c>
      <c r="E68" s="62"/>
      <c r="F68" s="63"/>
      <c r="G68" s="63"/>
      <c r="H68" s="64">
        <v>38</v>
      </c>
      <c r="I68" s="63"/>
      <c r="J68" s="63"/>
      <c r="K68" s="65">
        <v>4</v>
      </c>
      <c r="L68" s="63"/>
      <c r="M68" s="66"/>
      <c r="N68" s="100">
        <f t="shared" si="1"/>
        <v>34</v>
      </c>
      <c r="O68" s="179"/>
      <c r="P68" s="109">
        <f t="shared" si="2"/>
        <v>0</v>
      </c>
      <c r="Q68" s="110">
        <f t="shared" si="3"/>
        <v>0</v>
      </c>
      <c r="R68" s="110">
        <f t="shared" si="4"/>
        <v>0</v>
      </c>
      <c r="S68" s="171"/>
      <c r="T68" s="126">
        <f t="shared" si="8"/>
        <v>0</v>
      </c>
      <c r="U68" s="171"/>
      <c r="V68" s="136">
        <f t="shared" si="5"/>
        <v>0</v>
      </c>
      <c r="W68" s="49"/>
      <c r="Z68" s="51">
        <f t="shared" si="6"/>
        <v>0</v>
      </c>
      <c r="AA68" s="51">
        <f t="shared" si="7"/>
        <v>0</v>
      </c>
    </row>
    <row r="69" spans="1:27">
      <c r="A69" s="8" t="s">
        <v>27</v>
      </c>
      <c r="B69" s="14" t="s">
        <v>34</v>
      </c>
      <c r="C69" s="351">
        <v>8</v>
      </c>
      <c r="D69" s="19" t="s">
        <v>26</v>
      </c>
      <c r="E69" s="62"/>
      <c r="F69" s="63"/>
      <c r="G69" s="63"/>
      <c r="H69" s="64">
        <v>91</v>
      </c>
      <c r="I69" s="63"/>
      <c r="J69" s="63"/>
      <c r="K69" s="65">
        <v>9</v>
      </c>
      <c r="L69" s="63"/>
      <c r="M69" s="66"/>
      <c r="N69" s="100">
        <f t="shared" si="1"/>
        <v>82</v>
      </c>
      <c r="O69" s="179"/>
      <c r="P69" s="109">
        <f t="shared" si="2"/>
        <v>0</v>
      </c>
      <c r="Q69" s="110">
        <f t="shared" si="3"/>
        <v>0</v>
      </c>
      <c r="R69" s="110">
        <f t="shared" si="4"/>
        <v>0</v>
      </c>
      <c r="S69" s="171"/>
      <c r="T69" s="126">
        <f t="shared" ref="T69:T100" si="9">S69*H69</f>
        <v>0</v>
      </c>
      <c r="U69" s="171"/>
      <c r="V69" s="136">
        <f t="shared" si="5"/>
        <v>0</v>
      </c>
      <c r="W69" s="49"/>
      <c r="Z69" s="51">
        <f t="shared" si="6"/>
        <v>0</v>
      </c>
      <c r="AA69" s="51">
        <f t="shared" si="7"/>
        <v>0</v>
      </c>
    </row>
    <row r="70" spans="1:27">
      <c r="A70" s="8" t="s">
        <v>27</v>
      </c>
      <c r="B70" s="14" t="s">
        <v>35</v>
      </c>
      <c r="C70" s="351">
        <v>8</v>
      </c>
      <c r="D70" s="19" t="s">
        <v>26</v>
      </c>
      <c r="E70" s="62"/>
      <c r="F70" s="63"/>
      <c r="G70" s="63"/>
      <c r="H70" s="64">
        <v>41</v>
      </c>
      <c r="I70" s="63"/>
      <c r="J70" s="63"/>
      <c r="K70" s="65">
        <v>4</v>
      </c>
      <c r="L70" s="63"/>
      <c r="M70" s="66"/>
      <c r="N70" s="100">
        <f t="shared" ref="N70:N145" si="10">H70-K70</f>
        <v>37</v>
      </c>
      <c r="O70" s="179"/>
      <c r="P70" s="109">
        <f t="shared" ref="P70:P133" si="11">N70*O70</f>
        <v>0</v>
      </c>
      <c r="Q70" s="110">
        <f t="shared" ref="Q70:Q133" si="12">J70-O70</f>
        <v>0</v>
      </c>
      <c r="R70" s="110">
        <f t="shared" ref="R70:R133" si="13">N70*Q70</f>
        <v>0</v>
      </c>
      <c r="S70" s="171"/>
      <c r="T70" s="126">
        <f t="shared" si="9"/>
        <v>0</v>
      </c>
      <c r="U70" s="171"/>
      <c r="V70" s="136">
        <f t="shared" ref="V70:V145" si="14">H70*U70</f>
        <v>0</v>
      </c>
      <c r="W70" s="49"/>
      <c r="Z70" s="51">
        <f t="shared" ref="Z70:Z133" si="15">K70*O70</f>
        <v>0</v>
      </c>
      <c r="AA70" s="51">
        <f t="shared" ref="AA70:AA133" si="16">K70*Q70</f>
        <v>0</v>
      </c>
    </row>
    <row r="71" spans="1:27">
      <c r="A71" s="8" t="s">
        <v>27</v>
      </c>
      <c r="B71" s="14" t="s">
        <v>36</v>
      </c>
      <c r="C71" s="351">
        <v>8</v>
      </c>
      <c r="D71" s="19" t="s">
        <v>26</v>
      </c>
      <c r="E71" s="62"/>
      <c r="F71" s="63"/>
      <c r="G71" s="63"/>
      <c r="H71" s="64">
        <v>93</v>
      </c>
      <c r="I71" s="63"/>
      <c r="J71" s="63"/>
      <c r="K71" s="65">
        <v>9</v>
      </c>
      <c r="L71" s="63"/>
      <c r="M71" s="66"/>
      <c r="N71" s="100">
        <f t="shared" si="10"/>
        <v>84</v>
      </c>
      <c r="O71" s="179"/>
      <c r="P71" s="109">
        <f t="shared" si="11"/>
        <v>0</v>
      </c>
      <c r="Q71" s="110">
        <f t="shared" si="12"/>
        <v>0</v>
      </c>
      <c r="R71" s="110">
        <f t="shared" si="13"/>
        <v>0</v>
      </c>
      <c r="S71" s="171"/>
      <c r="T71" s="126">
        <f t="shared" si="9"/>
        <v>0</v>
      </c>
      <c r="U71" s="171"/>
      <c r="V71" s="136">
        <f t="shared" si="14"/>
        <v>0</v>
      </c>
      <c r="Z71" s="51">
        <f t="shared" si="15"/>
        <v>0</v>
      </c>
      <c r="AA71" s="51">
        <f t="shared" si="16"/>
        <v>0</v>
      </c>
    </row>
    <row r="72" spans="1:27">
      <c r="A72" s="8" t="s">
        <v>27</v>
      </c>
      <c r="B72" s="14" t="s">
        <v>37</v>
      </c>
      <c r="C72" s="351">
        <v>8</v>
      </c>
      <c r="D72" s="19" t="s">
        <v>26</v>
      </c>
      <c r="E72" s="62"/>
      <c r="F72" s="63"/>
      <c r="G72" s="63"/>
      <c r="H72" s="64">
        <v>63</v>
      </c>
      <c r="I72" s="63"/>
      <c r="J72" s="63"/>
      <c r="K72" s="65">
        <v>6</v>
      </c>
      <c r="L72" s="63"/>
      <c r="M72" s="66"/>
      <c r="N72" s="100">
        <f t="shared" si="10"/>
        <v>57</v>
      </c>
      <c r="O72" s="179"/>
      <c r="P72" s="109">
        <f t="shared" si="11"/>
        <v>0</v>
      </c>
      <c r="Q72" s="110">
        <f t="shared" si="12"/>
        <v>0</v>
      </c>
      <c r="R72" s="110">
        <f t="shared" si="13"/>
        <v>0</v>
      </c>
      <c r="S72" s="171"/>
      <c r="T72" s="126">
        <f t="shared" si="9"/>
        <v>0</v>
      </c>
      <c r="U72" s="171"/>
      <c r="V72" s="136">
        <f t="shared" si="14"/>
        <v>0</v>
      </c>
      <c r="Z72" s="51">
        <f t="shared" si="15"/>
        <v>0</v>
      </c>
      <c r="AA72" s="51">
        <f t="shared" si="16"/>
        <v>0</v>
      </c>
    </row>
    <row r="73" spans="1:27">
      <c r="A73" s="8" t="s">
        <v>27</v>
      </c>
      <c r="B73" s="14" t="s">
        <v>38</v>
      </c>
      <c r="C73" s="351">
        <v>8</v>
      </c>
      <c r="D73" s="19" t="s">
        <v>26</v>
      </c>
      <c r="E73" s="62"/>
      <c r="F73" s="63"/>
      <c r="G73" s="63"/>
      <c r="H73" s="64">
        <v>126</v>
      </c>
      <c r="I73" s="63"/>
      <c r="J73" s="63"/>
      <c r="K73" s="65">
        <v>12</v>
      </c>
      <c r="L73" s="63"/>
      <c r="M73" s="66"/>
      <c r="N73" s="100">
        <f t="shared" si="10"/>
        <v>114</v>
      </c>
      <c r="O73" s="179"/>
      <c r="P73" s="109">
        <f t="shared" si="11"/>
        <v>0</v>
      </c>
      <c r="Q73" s="110">
        <f t="shared" si="12"/>
        <v>0</v>
      </c>
      <c r="R73" s="110">
        <f t="shared" si="13"/>
        <v>0</v>
      </c>
      <c r="S73" s="171"/>
      <c r="T73" s="126">
        <f t="shared" si="9"/>
        <v>0</v>
      </c>
      <c r="U73" s="171"/>
      <c r="V73" s="136">
        <f t="shared" si="14"/>
        <v>0</v>
      </c>
      <c r="Z73" s="51">
        <f t="shared" si="15"/>
        <v>0</v>
      </c>
      <c r="AA73" s="51">
        <f t="shared" si="16"/>
        <v>0</v>
      </c>
    </row>
    <row r="74" spans="1:27">
      <c r="A74" s="8" t="s">
        <v>27</v>
      </c>
      <c r="B74" s="14" t="s">
        <v>39</v>
      </c>
      <c r="C74" s="351">
        <v>8</v>
      </c>
      <c r="D74" s="19" t="s">
        <v>26</v>
      </c>
      <c r="E74" s="62"/>
      <c r="F74" s="63"/>
      <c r="G74" s="63"/>
      <c r="H74" s="64">
        <v>122</v>
      </c>
      <c r="I74" s="63"/>
      <c r="J74" s="63"/>
      <c r="K74" s="65">
        <v>12</v>
      </c>
      <c r="L74" s="63"/>
      <c r="M74" s="66"/>
      <c r="N74" s="100">
        <f t="shared" si="10"/>
        <v>110</v>
      </c>
      <c r="O74" s="179"/>
      <c r="P74" s="109">
        <f t="shared" si="11"/>
        <v>0</v>
      </c>
      <c r="Q74" s="110">
        <f t="shared" si="12"/>
        <v>0</v>
      </c>
      <c r="R74" s="110">
        <f t="shared" si="13"/>
        <v>0</v>
      </c>
      <c r="S74" s="171"/>
      <c r="T74" s="126">
        <f t="shared" si="9"/>
        <v>0</v>
      </c>
      <c r="U74" s="171"/>
      <c r="V74" s="136">
        <f t="shared" si="14"/>
        <v>0</v>
      </c>
      <c r="Z74" s="51">
        <f t="shared" si="15"/>
        <v>0</v>
      </c>
      <c r="AA74" s="51">
        <f t="shared" si="16"/>
        <v>0</v>
      </c>
    </row>
    <row r="75" spans="1:27">
      <c r="A75" s="8" t="s">
        <v>27</v>
      </c>
      <c r="B75" s="14" t="s">
        <v>40</v>
      </c>
      <c r="C75" s="351">
        <v>8</v>
      </c>
      <c r="D75" s="19" t="s">
        <v>26</v>
      </c>
      <c r="E75" s="62"/>
      <c r="F75" s="63"/>
      <c r="G75" s="63"/>
      <c r="H75" s="64">
        <v>34</v>
      </c>
      <c r="I75" s="63"/>
      <c r="J75" s="63"/>
      <c r="K75" s="65">
        <v>3</v>
      </c>
      <c r="L75" s="63"/>
      <c r="M75" s="66"/>
      <c r="N75" s="100">
        <f t="shared" si="10"/>
        <v>31</v>
      </c>
      <c r="O75" s="179"/>
      <c r="P75" s="109">
        <f t="shared" si="11"/>
        <v>0</v>
      </c>
      <c r="Q75" s="110">
        <f t="shared" si="12"/>
        <v>0</v>
      </c>
      <c r="R75" s="110">
        <f t="shared" si="13"/>
        <v>0</v>
      </c>
      <c r="S75" s="171"/>
      <c r="T75" s="126">
        <f t="shared" si="9"/>
        <v>0</v>
      </c>
      <c r="U75" s="171"/>
      <c r="V75" s="136">
        <f t="shared" si="14"/>
        <v>0</v>
      </c>
      <c r="Z75" s="51">
        <f t="shared" si="15"/>
        <v>0</v>
      </c>
      <c r="AA75" s="51">
        <f t="shared" si="16"/>
        <v>0</v>
      </c>
    </row>
    <row r="76" spans="1:27">
      <c r="A76" s="8" t="s">
        <v>27</v>
      </c>
      <c r="B76" s="14" t="s">
        <v>28</v>
      </c>
      <c r="C76" s="351">
        <v>9</v>
      </c>
      <c r="D76" s="19" t="s">
        <v>286</v>
      </c>
      <c r="E76" s="62"/>
      <c r="F76" s="63"/>
      <c r="G76" s="63"/>
      <c r="H76" s="64">
        <v>65</v>
      </c>
      <c r="I76" s="63"/>
      <c r="J76" s="63"/>
      <c r="K76" s="65">
        <v>6</v>
      </c>
      <c r="L76" s="63"/>
      <c r="M76" s="66"/>
      <c r="N76" s="100">
        <f t="shared" si="10"/>
        <v>59</v>
      </c>
      <c r="O76" s="179"/>
      <c r="P76" s="109">
        <f t="shared" si="11"/>
        <v>0</v>
      </c>
      <c r="Q76" s="110">
        <f t="shared" si="12"/>
        <v>0</v>
      </c>
      <c r="R76" s="110">
        <f t="shared" si="13"/>
        <v>0</v>
      </c>
      <c r="S76" s="171"/>
      <c r="T76" s="126">
        <f t="shared" si="9"/>
        <v>0</v>
      </c>
      <c r="U76" s="171"/>
      <c r="V76" s="136">
        <f t="shared" si="14"/>
        <v>0</v>
      </c>
      <c r="W76" s="49"/>
      <c r="Z76" s="51">
        <f t="shared" si="15"/>
        <v>0</v>
      </c>
      <c r="AA76" s="51">
        <f t="shared" si="16"/>
        <v>0</v>
      </c>
    </row>
    <row r="77" spans="1:27">
      <c r="A77" s="8" t="s">
        <v>27</v>
      </c>
      <c r="B77" s="14" t="s">
        <v>29</v>
      </c>
      <c r="C77" s="351">
        <v>9</v>
      </c>
      <c r="D77" s="19" t="s">
        <v>286</v>
      </c>
      <c r="E77" s="62"/>
      <c r="F77" s="63"/>
      <c r="G77" s="63"/>
      <c r="H77" s="64">
        <v>35</v>
      </c>
      <c r="I77" s="63"/>
      <c r="J77" s="63"/>
      <c r="K77" s="65">
        <v>3</v>
      </c>
      <c r="L77" s="63"/>
      <c r="M77" s="66"/>
      <c r="N77" s="100">
        <f t="shared" si="10"/>
        <v>32</v>
      </c>
      <c r="O77" s="179"/>
      <c r="P77" s="109">
        <f t="shared" si="11"/>
        <v>0</v>
      </c>
      <c r="Q77" s="110">
        <f t="shared" si="12"/>
        <v>0</v>
      </c>
      <c r="R77" s="110">
        <f t="shared" si="13"/>
        <v>0</v>
      </c>
      <c r="S77" s="171"/>
      <c r="T77" s="126">
        <f t="shared" si="9"/>
        <v>0</v>
      </c>
      <c r="U77" s="171"/>
      <c r="V77" s="136">
        <f t="shared" si="14"/>
        <v>0</v>
      </c>
      <c r="W77" s="49"/>
      <c r="Z77" s="51">
        <f t="shared" si="15"/>
        <v>0</v>
      </c>
      <c r="AA77" s="51">
        <f t="shared" si="16"/>
        <v>0</v>
      </c>
    </row>
    <row r="78" spans="1:27">
      <c r="A78" s="8" t="s">
        <v>27</v>
      </c>
      <c r="B78" s="14" t="s">
        <v>30</v>
      </c>
      <c r="C78" s="351">
        <v>9</v>
      </c>
      <c r="D78" s="19" t="s">
        <v>286</v>
      </c>
      <c r="E78" s="62"/>
      <c r="F78" s="63"/>
      <c r="G78" s="63"/>
      <c r="H78" s="64">
        <v>103</v>
      </c>
      <c r="I78" s="63"/>
      <c r="J78" s="63"/>
      <c r="K78" s="65">
        <v>10</v>
      </c>
      <c r="L78" s="63"/>
      <c r="M78" s="66"/>
      <c r="N78" s="100">
        <f t="shared" si="10"/>
        <v>93</v>
      </c>
      <c r="O78" s="179"/>
      <c r="P78" s="109">
        <f t="shared" si="11"/>
        <v>0</v>
      </c>
      <c r="Q78" s="110">
        <f t="shared" si="12"/>
        <v>0</v>
      </c>
      <c r="R78" s="110">
        <f t="shared" si="13"/>
        <v>0</v>
      </c>
      <c r="S78" s="171"/>
      <c r="T78" s="126">
        <f t="shared" si="9"/>
        <v>0</v>
      </c>
      <c r="U78" s="171"/>
      <c r="V78" s="136">
        <f t="shared" si="14"/>
        <v>0</v>
      </c>
      <c r="W78" s="49"/>
      <c r="Z78" s="51">
        <f t="shared" si="15"/>
        <v>0</v>
      </c>
      <c r="AA78" s="51">
        <f t="shared" si="16"/>
        <v>0</v>
      </c>
    </row>
    <row r="79" spans="1:27">
      <c r="A79" s="8" t="s">
        <v>27</v>
      </c>
      <c r="B79" s="14" t="s">
        <v>31</v>
      </c>
      <c r="C79" s="351">
        <v>9</v>
      </c>
      <c r="D79" s="19" t="s">
        <v>286</v>
      </c>
      <c r="E79" s="62"/>
      <c r="F79" s="63"/>
      <c r="G79" s="63"/>
      <c r="H79" s="64">
        <v>24</v>
      </c>
      <c r="I79" s="63"/>
      <c r="J79" s="63"/>
      <c r="K79" s="65">
        <v>2</v>
      </c>
      <c r="L79" s="63"/>
      <c r="M79" s="66"/>
      <c r="N79" s="100">
        <f t="shared" si="10"/>
        <v>22</v>
      </c>
      <c r="O79" s="179"/>
      <c r="P79" s="109">
        <f t="shared" si="11"/>
        <v>0</v>
      </c>
      <c r="Q79" s="110">
        <f t="shared" si="12"/>
        <v>0</v>
      </c>
      <c r="R79" s="110">
        <f t="shared" si="13"/>
        <v>0</v>
      </c>
      <c r="S79" s="171"/>
      <c r="T79" s="126">
        <f t="shared" si="9"/>
        <v>0</v>
      </c>
      <c r="U79" s="171"/>
      <c r="V79" s="136">
        <f t="shared" si="14"/>
        <v>0</v>
      </c>
      <c r="W79" s="49"/>
      <c r="Z79" s="51">
        <f t="shared" si="15"/>
        <v>0</v>
      </c>
      <c r="AA79" s="51">
        <f t="shared" si="16"/>
        <v>0</v>
      </c>
    </row>
    <row r="80" spans="1:27">
      <c r="A80" s="8" t="s">
        <v>27</v>
      </c>
      <c r="B80" s="14" t="s">
        <v>32</v>
      </c>
      <c r="C80" s="351">
        <v>9</v>
      </c>
      <c r="D80" s="19" t="s">
        <v>286</v>
      </c>
      <c r="E80" s="62"/>
      <c r="F80" s="63"/>
      <c r="G80" s="63"/>
      <c r="H80" s="64">
        <v>72</v>
      </c>
      <c r="I80" s="63"/>
      <c r="J80" s="63"/>
      <c r="K80" s="65">
        <v>7</v>
      </c>
      <c r="L80" s="63"/>
      <c r="M80" s="66"/>
      <c r="N80" s="100">
        <f t="shared" si="10"/>
        <v>65</v>
      </c>
      <c r="O80" s="179"/>
      <c r="P80" s="109">
        <f t="shared" si="11"/>
        <v>0</v>
      </c>
      <c r="Q80" s="110">
        <f t="shared" si="12"/>
        <v>0</v>
      </c>
      <c r="R80" s="110">
        <f t="shared" si="13"/>
        <v>0</v>
      </c>
      <c r="S80" s="171"/>
      <c r="T80" s="126">
        <f t="shared" si="9"/>
        <v>0</v>
      </c>
      <c r="U80" s="171"/>
      <c r="V80" s="136">
        <f t="shared" si="14"/>
        <v>0</v>
      </c>
      <c r="W80" s="49"/>
      <c r="Z80" s="51">
        <f t="shared" si="15"/>
        <v>0</v>
      </c>
      <c r="AA80" s="51">
        <f t="shared" si="16"/>
        <v>0</v>
      </c>
    </row>
    <row r="81" spans="1:27">
      <c r="A81" s="8" t="s">
        <v>27</v>
      </c>
      <c r="B81" s="14" t="s">
        <v>33</v>
      </c>
      <c r="C81" s="351">
        <v>9</v>
      </c>
      <c r="D81" s="19" t="s">
        <v>286</v>
      </c>
      <c r="E81" s="62"/>
      <c r="F81" s="63"/>
      <c r="G81" s="63"/>
      <c r="H81" s="64">
        <v>30</v>
      </c>
      <c r="I81" s="63"/>
      <c r="J81" s="63"/>
      <c r="K81" s="65">
        <v>3</v>
      </c>
      <c r="L81" s="63"/>
      <c r="M81" s="66"/>
      <c r="N81" s="100">
        <f t="shared" si="10"/>
        <v>27</v>
      </c>
      <c r="O81" s="179"/>
      <c r="P81" s="109">
        <f t="shared" si="11"/>
        <v>0</v>
      </c>
      <c r="Q81" s="110">
        <f t="shared" si="12"/>
        <v>0</v>
      </c>
      <c r="R81" s="110">
        <f t="shared" si="13"/>
        <v>0</v>
      </c>
      <c r="S81" s="171"/>
      <c r="T81" s="126">
        <f t="shared" si="9"/>
        <v>0</v>
      </c>
      <c r="U81" s="171"/>
      <c r="V81" s="136">
        <f t="shared" si="14"/>
        <v>0</v>
      </c>
      <c r="W81" s="49"/>
      <c r="Z81" s="51">
        <f t="shared" si="15"/>
        <v>0</v>
      </c>
      <c r="AA81" s="51">
        <f t="shared" si="16"/>
        <v>0</v>
      </c>
    </row>
    <row r="82" spans="1:27">
      <c r="A82" s="8" t="s">
        <v>27</v>
      </c>
      <c r="B82" s="14" t="s">
        <v>34</v>
      </c>
      <c r="C82" s="351">
        <v>9</v>
      </c>
      <c r="D82" s="19" t="s">
        <v>286</v>
      </c>
      <c r="E82" s="62"/>
      <c r="F82" s="63"/>
      <c r="G82" s="63"/>
      <c r="H82" s="64">
        <v>68</v>
      </c>
      <c r="I82" s="63"/>
      <c r="J82" s="63"/>
      <c r="K82" s="65">
        <v>7</v>
      </c>
      <c r="L82" s="63"/>
      <c r="M82" s="66"/>
      <c r="N82" s="100">
        <f t="shared" si="10"/>
        <v>61</v>
      </c>
      <c r="O82" s="179"/>
      <c r="P82" s="109">
        <f t="shared" si="11"/>
        <v>0</v>
      </c>
      <c r="Q82" s="110">
        <f t="shared" si="12"/>
        <v>0</v>
      </c>
      <c r="R82" s="110">
        <f t="shared" si="13"/>
        <v>0</v>
      </c>
      <c r="S82" s="171"/>
      <c r="T82" s="126">
        <f t="shared" si="9"/>
        <v>0</v>
      </c>
      <c r="U82" s="171"/>
      <c r="V82" s="136">
        <f t="shared" si="14"/>
        <v>0</v>
      </c>
      <c r="W82" s="49"/>
      <c r="Z82" s="51">
        <f t="shared" si="15"/>
        <v>0</v>
      </c>
      <c r="AA82" s="51">
        <f t="shared" si="16"/>
        <v>0</v>
      </c>
    </row>
    <row r="83" spans="1:27">
      <c r="A83" s="8" t="s">
        <v>27</v>
      </c>
      <c r="B83" s="14" t="s">
        <v>35</v>
      </c>
      <c r="C83" s="351">
        <v>9</v>
      </c>
      <c r="D83" s="19" t="s">
        <v>286</v>
      </c>
      <c r="E83" s="62"/>
      <c r="F83" s="63"/>
      <c r="G83" s="63"/>
      <c r="H83" s="64">
        <v>30</v>
      </c>
      <c r="I83" s="63"/>
      <c r="J83" s="63"/>
      <c r="K83" s="65">
        <v>3</v>
      </c>
      <c r="L83" s="63"/>
      <c r="M83" s="66"/>
      <c r="N83" s="100">
        <f t="shared" si="10"/>
        <v>27</v>
      </c>
      <c r="O83" s="179"/>
      <c r="P83" s="109">
        <f t="shared" si="11"/>
        <v>0</v>
      </c>
      <c r="Q83" s="110">
        <f t="shared" si="12"/>
        <v>0</v>
      </c>
      <c r="R83" s="110">
        <f t="shared" si="13"/>
        <v>0</v>
      </c>
      <c r="S83" s="171"/>
      <c r="T83" s="126">
        <f t="shared" si="9"/>
        <v>0</v>
      </c>
      <c r="U83" s="171"/>
      <c r="V83" s="136">
        <f t="shared" si="14"/>
        <v>0</v>
      </c>
      <c r="W83" s="49"/>
      <c r="Z83" s="51">
        <f t="shared" si="15"/>
        <v>0</v>
      </c>
      <c r="AA83" s="51">
        <f t="shared" si="16"/>
        <v>0</v>
      </c>
    </row>
    <row r="84" spans="1:27">
      <c r="A84" s="8" t="s">
        <v>27</v>
      </c>
      <c r="B84" s="14" t="s">
        <v>36</v>
      </c>
      <c r="C84" s="351">
        <v>9</v>
      </c>
      <c r="D84" s="19" t="s">
        <v>286</v>
      </c>
      <c r="E84" s="62"/>
      <c r="F84" s="63"/>
      <c r="G84" s="63"/>
      <c r="H84" s="64">
        <v>129</v>
      </c>
      <c r="I84" s="63"/>
      <c r="J84" s="63"/>
      <c r="K84" s="65">
        <v>12</v>
      </c>
      <c r="L84" s="63"/>
      <c r="M84" s="66"/>
      <c r="N84" s="100">
        <f t="shared" si="10"/>
        <v>117</v>
      </c>
      <c r="O84" s="179"/>
      <c r="P84" s="109">
        <f t="shared" si="11"/>
        <v>0</v>
      </c>
      <c r="Q84" s="110">
        <f t="shared" si="12"/>
        <v>0</v>
      </c>
      <c r="R84" s="110">
        <f t="shared" si="13"/>
        <v>0</v>
      </c>
      <c r="S84" s="171"/>
      <c r="T84" s="126">
        <f t="shared" si="9"/>
        <v>0</v>
      </c>
      <c r="U84" s="171"/>
      <c r="V84" s="136">
        <f t="shared" si="14"/>
        <v>0</v>
      </c>
      <c r="Z84" s="51">
        <f t="shared" si="15"/>
        <v>0</v>
      </c>
      <c r="AA84" s="51">
        <f t="shared" si="16"/>
        <v>0</v>
      </c>
    </row>
    <row r="85" spans="1:27">
      <c r="A85" s="8" t="s">
        <v>27</v>
      </c>
      <c r="B85" s="14" t="s">
        <v>37</v>
      </c>
      <c r="C85" s="351">
        <v>9</v>
      </c>
      <c r="D85" s="19" t="s">
        <v>286</v>
      </c>
      <c r="E85" s="62"/>
      <c r="F85" s="63"/>
      <c r="G85" s="63"/>
      <c r="H85" s="64">
        <v>59</v>
      </c>
      <c r="I85" s="63"/>
      <c r="J85" s="63"/>
      <c r="K85" s="65">
        <v>6</v>
      </c>
      <c r="L85" s="63"/>
      <c r="M85" s="66"/>
      <c r="N85" s="100">
        <f t="shared" si="10"/>
        <v>53</v>
      </c>
      <c r="O85" s="179"/>
      <c r="P85" s="109">
        <f t="shared" si="11"/>
        <v>0</v>
      </c>
      <c r="Q85" s="110">
        <f t="shared" si="12"/>
        <v>0</v>
      </c>
      <c r="R85" s="110">
        <f t="shared" si="13"/>
        <v>0</v>
      </c>
      <c r="S85" s="171"/>
      <c r="T85" s="126">
        <f t="shared" si="9"/>
        <v>0</v>
      </c>
      <c r="U85" s="171"/>
      <c r="V85" s="136">
        <f t="shared" si="14"/>
        <v>0</v>
      </c>
      <c r="Z85" s="51">
        <f t="shared" si="15"/>
        <v>0</v>
      </c>
      <c r="AA85" s="51">
        <f t="shared" si="16"/>
        <v>0</v>
      </c>
    </row>
    <row r="86" spans="1:27">
      <c r="A86" s="8" t="s">
        <v>27</v>
      </c>
      <c r="B86" s="14" t="s">
        <v>38</v>
      </c>
      <c r="C86" s="351">
        <v>9</v>
      </c>
      <c r="D86" s="19" t="s">
        <v>286</v>
      </c>
      <c r="E86" s="62"/>
      <c r="F86" s="63"/>
      <c r="G86" s="63"/>
      <c r="H86" s="64">
        <v>106</v>
      </c>
      <c r="I86" s="63"/>
      <c r="J86" s="63"/>
      <c r="K86" s="65">
        <v>10</v>
      </c>
      <c r="L86" s="63"/>
      <c r="M86" s="66"/>
      <c r="N86" s="100">
        <f t="shared" si="10"/>
        <v>96</v>
      </c>
      <c r="O86" s="179"/>
      <c r="P86" s="109">
        <f t="shared" si="11"/>
        <v>0</v>
      </c>
      <c r="Q86" s="110">
        <f t="shared" si="12"/>
        <v>0</v>
      </c>
      <c r="R86" s="110">
        <f t="shared" si="13"/>
        <v>0</v>
      </c>
      <c r="S86" s="171"/>
      <c r="T86" s="126">
        <f t="shared" si="9"/>
        <v>0</v>
      </c>
      <c r="U86" s="171"/>
      <c r="V86" s="136">
        <f t="shared" si="14"/>
        <v>0</v>
      </c>
      <c r="Z86" s="51">
        <f t="shared" si="15"/>
        <v>0</v>
      </c>
      <c r="AA86" s="51">
        <f t="shared" si="16"/>
        <v>0</v>
      </c>
    </row>
    <row r="87" spans="1:27">
      <c r="A87" s="8" t="s">
        <v>27</v>
      </c>
      <c r="B87" s="14" t="s">
        <v>39</v>
      </c>
      <c r="C87" s="351">
        <v>9</v>
      </c>
      <c r="D87" s="19" t="s">
        <v>286</v>
      </c>
      <c r="E87" s="62"/>
      <c r="F87" s="63"/>
      <c r="G87" s="63"/>
      <c r="H87" s="64">
        <v>104</v>
      </c>
      <c r="I87" s="63"/>
      <c r="J87" s="63"/>
      <c r="K87" s="65">
        <v>10</v>
      </c>
      <c r="L87" s="63"/>
      <c r="M87" s="66"/>
      <c r="N87" s="100">
        <f t="shared" si="10"/>
        <v>94</v>
      </c>
      <c r="O87" s="179"/>
      <c r="P87" s="109">
        <f t="shared" si="11"/>
        <v>0</v>
      </c>
      <c r="Q87" s="110">
        <f t="shared" si="12"/>
        <v>0</v>
      </c>
      <c r="R87" s="110">
        <f t="shared" si="13"/>
        <v>0</v>
      </c>
      <c r="S87" s="171"/>
      <c r="T87" s="126">
        <f t="shared" si="9"/>
        <v>0</v>
      </c>
      <c r="U87" s="171"/>
      <c r="V87" s="136">
        <f t="shared" si="14"/>
        <v>0</v>
      </c>
      <c r="Z87" s="51">
        <f t="shared" si="15"/>
        <v>0</v>
      </c>
      <c r="AA87" s="51">
        <f t="shared" si="16"/>
        <v>0</v>
      </c>
    </row>
    <row r="88" spans="1:27">
      <c r="A88" s="8" t="s">
        <v>27</v>
      </c>
      <c r="B88" s="14" t="s">
        <v>40</v>
      </c>
      <c r="C88" s="351">
        <v>9</v>
      </c>
      <c r="D88" s="19" t="s">
        <v>286</v>
      </c>
      <c r="E88" s="62"/>
      <c r="F88" s="63"/>
      <c r="G88" s="63"/>
      <c r="H88" s="64">
        <v>26</v>
      </c>
      <c r="I88" s="63"/>
      <c r="J88" s="63"/>
      <c r="K88" s="65">
        <v>3</v>
      </c>
      <c r="L88" s="63"/>
      <c r="M88" s="66"/>
      <c r="N88" s="100">
        <f t="shared" si="10"/>
        <v>23</v>
      </c>
      <c r="O88" s="179"/>
      <c r="P88" s="109">
        <f t="shared" si="11"/>
        <v>0</v>
      </c>
      <c r="Q88" s="110">
        <f t="shared" si="12"/>
        <v>0</v>
      </c>
      <c r="R88" s="110">
        <f t="shared" si="13"/>
        <v>0</v>
      </c>
      <c r="S88" s="171"/>
      <c r="T88" s="126">
        <f t="shared" si="9"/>
        <v>0</v>
      </c>
      <c r="U88" s="171"/>
      <c r="V88" s="136">
        <f t="shared" si="14"/>
        <v>0</v>
      </c>
      <c r="Z88" s="51">
        <f t="shared" si="15"/>
        <v>0</v>
      </c>
      <c r="AA88" s="51">
        <f t="shared" si="16"/>
        <v>0</v>
      </c>
    </row>
    <row r="89" spans="1:27">
      <c r="A89" s="2" t="s">
        <v>41</v>
      </c>
      <c r="B89" s="5" t="s">
        <v>42</v>
      </c>
      <c r="C89" s="352">
        <v>7</v>
      </c>
      <c r="D89" s="20" t="s">
        <v>11</v>
      </c>
      <c r="E89" s="67"/>
      <c r="F89" s="68"/>
      <c r="G89" s="68"/>
      <c r="H89" s="69">
        <v>88</v>
      </c>
      <c r="I89" s="68"/>
      <c r="J89" s="68"/>
      <c r="K89" s="70">
        <v>8</v>
      </c>
      <c r="L89" s="68"/>
      <c r="M89" s="71"/>
      <c r="N89" s="101">
        <f t="shared" si="10"/>
        <v>80</v>
      </c>
      <c r="O89" s="180"/>
      <c r="P89" s="111">
        <f t="shared" si="11"/>
        <v>0</v>
      </c>
      <c r="Q89" s="112">
        <f t="shared" si="12"/>
        <v>0</v>
      </c>
      <c r="R89" s="112">
        <f t="shared" si="13"/>
        <v>0</v>
      </c>
      <c r="S89" s="172"/>
      <c r="T89" s="127">
        <f t="shared" si="9"/>
        <v>0</v>
      </c>
      <c r="U89" s="172"/>
      <c r="V89" s="137">
        <f t="shared" si="14"/>
        <v>0</v>
      </c>
      <c r="W89" s="49"/>
      <c r="Z89" s="51">
        <f t="shared" si="15"/>
        <v>0</v>
      </c>
      <c r="AA89" s="51">
        <f t="shared" si="16"/>
        <v>0</v>
      </c>
    </row>
    <row r="90" spans="1:27">
      <c r="A90" s="2" t="s">
        <v>41</v>
      </c>
      <c r="B90" s="5" t="s">
        <v>43</v>
      </c>
      <c r="C90" s="352">
        <v>7</v>
      </c>
      <c r="D90" s="20" t="s">
        <v>11</v>
      </c>
      <c r="E90" s="67"/>
      <c r="F90" s="68"/>
      <c r="G90" s="68"/>
      <c r="H90" s="69">
        <v>50</v>
      </c>
      <c r="I90" s="68"/>
      <c r="J90" s="68"/>
      <c r="K90" s="70">
        <v>6</v>
      </c>
      <c r="L90" s="68"/>
      <c r="M90" s="71"/>
      <c r="N90" s="101">
        <f t="shared" si="10"/>
        <v>44</v>
      </c>
      <c r="O90" s="180"/>
      <c r="P90" s="111">
        <f t="shared" si="11"/>
        <v>0</v>
      </c>
      <c r="Q90" s="112">
        <f t="shared" si="12"/>
        <v>0</v>
      </c>
      <c r="R90" s="112">
        <f t="shared" si="13"/>
        <v>0</v>
      </c>
      <c r="S90" s="172"/>
      <c r="T90" s="127">
        <f t="shared" si="9"/>
        <v>0</v>
      </c>
      <c r="U90" s="172"/>
      <c r="V90" s="137">
        <f t="shared" si="14"/>
        <v>0</v>
      </c>
      <c r="W90" s="49"/>
      <c r="Z90" s="51">
        <f t="shared" si="15"/>
        <v>0</v>
      </c>
      <c r="AA90" s="51">
        <f t="shared" si="16"/>
        <v>0</v>
      </c>
    </row>
    <row r="91" spans="1:27">
      <c r="A91" s="2" t="s">
        <v>41</v>
      </c>
      <c r="B91" s="5" t="s">
        <v>44</v>
      </c>
      <c r="C91" s="352">
        <v>7</v>
      </c>
      <c r="D91" s="20" t="s">
        <v>11</v>
      </c>
      <c r="E91" s="67"/>
      <c r="F91" s="68"/>
      <c r="G91" s="68"/>
      <c r="H91" s="69">
        <v>130</v>
      </c>
      <c r="I91" s="68"/>
      <c r="J91" s="68"/>
      <c r="K91" s="70">
        <v>12</v>
      </c>
      <c r="L91" s="68"/>
      <c r="M91" s="71"/>
      <c r="N91" s="101">
        <f t="shared" si="10"/>
        <v>118</v>
      </c>
      <c r="O91" s="180"/>
      <c r="P91" s="111">
        <f t="shared" si="11"/>
        <v>0</v>
      </c>
      <c r="Q91" s="112">
        <f t="shared" si="12"/>
        <v>0</v>
      </c>
      <c r="R91" s="112">
        <f t="shared" si="13"/>
        <v>0</v>
      </c>
      <c r="S91" s="172"/>
      <c r="T91" s="127">
        <f t="shared" si="9"/>
        <v>0</v>
      </c>
      <c r="U91" s="172"/>
      <c r="V91" s="137">
        <f t="shared" si="14"/>
        <v>0</v>
      </c>
      <c r="W91" s="49"/>
      <c r="Z91" s="51">
        <f t="shared" si="15"/>
        <v>0</v>
      </c>
      <c r="AA91" s="51">
        <f t="shared" si="16"/>
        <v>0</v>
      </c>
    </row>
    <row r="92" spans="1:27">
      <c r="A92" s="2" t="s">
        <v>41</v>
      </c>
      <c r="B92" s="5" t="s">
        <v>45</v>
      </c>
      <c r="C92" s="352">
        <v>7</v>
      </c>
      <c r="D92" s="20" t="s">
        <v>11</v>
      </c>
      <c r="E92" s="67"/>
      <c r="F92" s="68"/>
      <c r="G92" s="68"/>
      <c r="H92" s="69">
        <v>39</v>
      </c>
      <c r="I92" s="68"/>
      <c r="J92" s="68"/>
      <c r="K92" s="70">
        <v>4</v>
      </c>
      <c r="L92" s="68"/>
      <c r="M92" s="71"/>
      <c r="N92" s="101">
        <f t="shared" si="10"/>
        <v>35</v>
      </c>
      <c r="O92" s="180"/>
      <c r="P92" s="111">
        <f t="shared" si="11"/>
        <v>0</v>
      </c>
      <c r="Q92" s="112">
        <f t="shared" si="12"/>
        <v>0</v>
      </c>
      <c r="R92" s="112">
        <f t="shared" si="13"/>
        <v>0</v>
      </c>
      <c r="S92" s="172"/>
      <c r="T92" s="127">
        <f t="shared" si="9"/>
        <v>0</v>
      </c>
      <c r="U92" s="172"/>
      <c r="V92" s="137">
        <f t="shared" si="14"/>
        <v>0</v>
      </c>
      <c r="W92" s="49"/>
      <c r="Z92" s="51">
        <f t="shared" si="15"/>
        <v>0</v>
      </c>
      <c r="AA92" s="51">
        <f t="shared" si="16"/>
        <v>0</v>
      </c>
    </row>
    <row r="93" spans="1:27">
      <c r="A93" s="2" t="s">
        <v>41</v>
      </c>
      <c r="B93" s="5" t="s">
        <v>46</v>
      </c>
      <c r="C93" s="352">
        <v>7</v>
      </c>
      <c r="D93" s="20" t="s">
        <v>11</v>
      </c>
      <c r="E93" s="67"/>
      <c r="F93" s="68"/>
      <c r="G93" s="68"/>
      <c r="H93" s="69">
        <v>137</v>
      </c>
      <c r="I93" s="68"/>
      <c r="J93" s="68"/>
      <c r="K93" s="70">
        <v>12</v>
      </c>
      <c r="L93" s="68"/>
      <c r="M93" s="71"/>
      <c r="N93" s="101">
        <f t="shared" si="10"/>
        <v>125</v>
      </c>
      <c r="O93" s="180"/>
      <c r="P93" s="111">
        <f t="shared" si="11"/>
        <v>0</v>
      </c>
      <c r="Q93" s="112">
        <f t="shared" si="12"/>
        <v>0</v>
      </c>
      <c r="R93" s="112">
        <f t="shared" si="13"/>
        <v>0</v>
      </c>
      <c r="S93" s="172"/>
      <c r="T93" s="127">
        <f t="shared" si="9"/>
        <v>0</v>
      </c>
      <c r="U93" s="172"/>
      <c r="V93" s="137">
        <f t="shared" si="14"/>
        <v>0</v>
      </c>
      <c r="W93" s="49"/>
      <c r="Z93" s="51">
        <f t="shared" si="15"/>
        <v>0</v>
      </c>
      <c r="AA93" s="51">
        <f t="shared" si="16"/>
        <v>0</v>
      </c>
    </row>
    <row r="94" spans="1:27">
      <c r="A94" s="2" t="s">
        <v>41</v>
      </c>
      <c r="B94" s="5" t="s">
        <v>47</v>
      </c>
      <c r="C94" s="352">
        <v>7</v>
      </c>
      <c r="D94" s="20" t="s">
        <v>11</v>
      </c>
      <c r="E94" s="67"/>
      <c r="F94" s="68"/>
      <c r="G94" s="68"/>
      <c r="H94" s="69">
        <v>52</v>
      </c>
      <c r="I94" s="68"/>
      <c r="J94" s="68"/>
      <c r="K94" s="70">
        <v>5</v>
      </c>
      <c r="L94" s="68"/>
      <c r="M94" s="71"/>
      <c r="N94" s="101">
        <f t="shared" si="10"/>
        <v>47</v>
      </c>
      <c r="O94" s="180"/>
      <c r="P94" s="111">
        <f t="shared" si="11"/>
        <v>0</v>
      </c>
      <c r="Q94" s="112">
        <f t="shared" si="12"/>
        <v>0</v>
      </c>
      <c r="R94" s="112">
        <f t="shared" si="13"/>
        <v>0</v>
      </c>
      <c r="S94" s="172"/>
      <c r="T94" s="127">
        <f t="shared" si="9"/>
        <v>0</v>
      </c>
      <c r="U94" s="172"/>
      <c r="V94" s="137">
        <f t="shared" si="14"/>
        <v>0</v>
      </c>
      <c r="W94" s="49"/>
      <c r="Z94" s="51">
        <f t="shared" si="15"/>
        <v>0</v>
      </c>
      <c r="AA94" s="51">
        <f t="shared" si="16"/>
        <v>0</v>
      </c>
    </row>
    <row r="95" spans="1:27">
      <c r="A95" s="2" t="s">
        <v>41</v>
      </c>
      <c r="B95" s="5" t="s">
        <v>48</v>
      </c>
      <c r="C95" s="352">
        <v>7</v>
      </c>
      <c r="D95" s="20" t="s">
        <v>11</v>
      </c>
      <c r="E95" s="67"/>
      <c r="F95" s="68"/>
      <c r="G95" s="68"/>
      <c r="H95" s="69">
        <v>95</v>
      </c>
      <c r="I95" s="68"/>
      <c r="J95" s="68"/>
      <c r="K95" s="70">
        <v>9</v>
      </c>
      <c r="L95" s="68"/>
      <c r="M95" s="71"/>
      <c r="N95" s="101">
        <f t="shared" si="10"/>
        <v>86</v>
      </c>
      <c r="O95" s="180"/>
      <c r="P95" s="111">
        <f t="shared" si="11"/>
        <v>0</v>
      </c>
      <c r="Q95" s="112">
        <f t="shared" si="12"/>
        <v>0</v>
      </c>
      <c r="R95" s="112">
        <f t="shared" si="13"/>
        <v>0</v>
      </c>
      <c r="S95" s="172"/>
      <c r="T95" s="127">
        <f t="shared" si="9"/>
        <v>0</v>
      </c>
      <c r="U95" s="172"/>
      <c r="V95" s="137">
        <f t="shared" si="14"/>
        <v>0</v>
      </c>
      <c r="W95" s="49"/>
      <c r="Z95" s="51">
        <f t="shared" si="15"/>
        <v>0</v>
      </c>
      <c r="AA95" s="51">
        <f t="shared" si="16"/>
        <v>0</v>
      </c>
    </row>
    <row r="96" spans="1:27">
      <c r="A96" s="2" t="s">
        <v>41</v>
      </c>
      <c r="B96" s="5" t="s">
        <v>49</v>
      </c>
      <c r="C96" s="352">
        <v>7</v>
      </c>
      <c r="D96" s="20" t="s">
        <v>11</v>
      </c>
      <c r="E96" s="67"/>
      <c r="F96" s="68"/>
      <c r="G96" s="68"/>
      <c r="H96" s="69">
        <v>32</v>
      </c>
      <c r="I96" s="68"/>
      <c r="J96" s="68"/>
      <c r="K96" s="70">
        <v>3</v>
      </c>
      <c r="L96" s="68"/>
      <c r="M96" s="71"/>
      <c r="N96" s="101">
        <f t="shared" si="10"/>
        <v>29</v>
      </c>
      <c r="O96" s="180"/>
      <c r="P96" s="111">
        <f t="shared" si="11"/>
        <v>0</v>
      </c>
      <c r="Q96" s="112">
        <f t="shared" si="12"/>
        <v>0</v>
      </c>
      <c r="R96" s="112">
        <f t="shared" si="13"/>
        <v>0</v>
      </c>
      <c r="S96" s="172"/>
      <c r="T96" s="127">
        <f t="shared" si="9"/>
        <v>0</v>
      </c>
      <c r="U96" s="172"/>
      <c r="V96" s="137">
        <f t="shared" si="14"/>
        <v>0</v>
      </c>
      <c r="W96" s="49"/>
      <c r="Z96" s="51">
        <f t="shared" si="15"/>
        <v>0</v>
      </c>
      <c r="AA96" s="51">
        <f t="shared" si="16"/>
        <v>0</v>
      </c>
    </row>
    <row r="97" spans="1:27">
      <c r="A97" s="2" t="s">
        <v>41</v>
      </c>
      <c r="B97" s="5" t="s">
        <v>50</v>
      </c>
      <c r="C97" s="352">
        <v>7</v>
      </c>
      <c r="D97" s="20" t="s">
        <v>11</v>
      </c>
      <c r="E97" s="67"/>
      <c r="F97" s="68"/>
      <c r="G97" s="68"/>
      <c r="H97" s="69">
        <v>113</v>
      </c>
      <c r="I97" s="68"/>
      <c r="J97" s="68"/>
      <c r="K97" s="70">
        <v>11</v>
      </c>
      <c r="L97" s="68"/>
      <c r="M97" s="71"/>
      <c r="N97" s="101">
        <f t="shared" si="10"/>
        <v>102</v>
      </c>
      <c r="O97" s="180"/>
      <c r="P97" s="111">
        <f t="shared" si="11"/>
        <v>0</v>
      </c>
      <c r="Q97" s="112">
        <f t="shared" si="12"/>
        <v>0</v>
      </c>
      <c r="R97" s="112">
        <f t="shared" si="13"/>
        <v>0</v>
      </c>
      <c r="S97" s="172"/>
      <c r="T97" s="127">
        <f t="shared" si="9"/>
        <v>0</v>
      </c>
      <c r="U97" s="172"/>
      <c r="V97" s="137">
        <f t="shared" si="14"/>
        <v>0</v>
      </c>
      <c r="Z97" s="51">
        <f t="shared" si="15"/>
        <v>0</v>
      </c>
      <c r="AA97" s="51">
        <f t="shared" si="16"/>
        <v>0</v>
      </c>
    </row>
    <row r="98" spans="1:27">
      <c r="A98" s="2" t="s">
        <v>41</v>
      </c>
      <c r="B98" s="5" t="s">
        <v>51</v>
      </c>
      <c r="C98" s="352">
        <v>7</v>
      </c>
      <c r="D98" s="20" t="s">
        <v>11</v>
      </c>
      <c r="E98" s="67"/>
      <c r="F98" s="68"/>
      <c r="G98" s="68"/>
      <c r="H98" s="69">
        <v>38</v>
      </c>
      <c r="I98" s="68"/>
      <c r="J98" s="68"/>
      <c r="K98" s="70">
        <v>3</v>
      </c>
      <c r="L98" s="68"/>
      <c r="M98" s="71"/>
      <c r="N98" s="101">
        <f t="shared" si="10"/>
        <v>35</v>
      </c>
      <c r="O98" s="180"/>
      <c r="P98" s="111">
        <f t="shared" si="11"/>
        <v>0</v>
      </c>
      <c r="Q98" s="112">
        <f t="shared" si="12"/>
        <v>0</v>
      </c>
      <c r="R98" s="112">
        <f t="shared" si="13"/>
        <v>0</v>
      </c>
      <c r="S98" s="172"/>
      <c r="T98" s="127">
        <f t="shared" si="9"/>
        <v>0</v>
      </c>
      <c r="U98" s="172"/>
      <c r="V98" s="137">
        <f t="shared" si="14"/>
        <v>0</v>
      </c>
      <c r="Z98" s="51">
        <f t="shared" si="15"/>
        <v>0</v>
      </c>
      <c r="AA98" s="51">
        <f t="shared" si="16"/>
        <v>0</v>
      </c>
    </row>
    <row r="99" spans="1:27">
      <c r="A99" s="2" t="s">
        <v>41</v>
      </c>
      <c r="B99" s="5" t="s">
        <v>52</v>
      </c>
      <c r="C99" s="352">
        <v>7</v>
      </c>
      <c r="D99" s="20" t="s">
        <v>11</v>
      </c>
      <c r="E99" s="67"/>
      <c r="F99" s="68"/>
      <c r="G99" s="68"/>
      <c r="H99" s="69">
        <v>98</v>
      </c>
      <c r="I99" s="68"/>
      <c r="J99" s="68"/>
      <c r="K99" s="70">
        <v>9</v>
      </c>
      <c r="L99" s="68"/>
      <c r="M99" s="71"/>
      <c r="N99" s="101">
        <f t="shared" si="10"/>
        <v>89</v>
      </c>
      <c r="O99" s="180"/>
      <c r="P99" s="111">
        <f t="shared" si="11"/>
        <v>0</v>
      </c>
      <c r="Q99" s="112">
        <f t="shared" si="12"/>
        <v>0</v>
      </c>
      <c r="R99" s="112">
        <f t="shared" si="13"/>
        <v>0</v>
      </c>
      <c r="S99" s="172"/>
      <c r="T99" s="127">
        <f t="shared" si="9"/>
        <v>0</v>
      </c>
      <c r="U99" s="172"/>
      <c r="V99" s="137">
        <f t="shared" si="14"/>
        <v>0</v>
      </c>
      <c r="Z99" s="51">
        <f t="shared" si="15"/>
        <v>0</v>
      </c>
      <c r="AA99" s="51">
        <f t="shared" si="16"/>
        <v>0</v>
      </c>
    </row>
    <row r="100" spans="1:27">
      <c r="A100" s="2" t="s">
        <v>41</v>
      </c>
      <c r="B100" s="5" t="s">
        <v>53</v>
      </c>
      <c r="C100" s="352">
        <v>7</v>
      </c>
      <c r="D100" s="20" t="s">
        <v>11</v>
      </c>
      <c r="E100" s="67"/>
      <c r="F100" s="68"/>
      <c r="G100" s="68"/>
      <c r="H100" s="69">
        <v>58</v>
      </c>
      <c r="I100" s="68"/>
      <c r="J100" s="68"/>
      <c r="K100" s="70">
        <v>6</v>
      </c>
      <c r="L100" s="68"/>
      <c r="M100" s="71"/>
      <c r="N100" s="101">
        <f t="shared" si="10"/>
        <v>52</v>
      </c>
      <c r="O100" s="180"/>
      <c r="P100" s="111">
        <f t="shared" si="11"/>
        <v>0</v>
      </c>
      <c r="Q100" s="112">
        <f t="shared" si="12"/>
        <v>0</v>
      </c>
      <c r="R100" s="112">
        <f t="shared" si="13"/>
        <v>0</v>
      </c>
      <c r="S100" s="172"/>
      <c r="T100" s="127">
        <f t="shared" si="9"/>
        <v>0</v>
      </c>
      <c r="U100" s="172"/>
      <c r="V100" s="137">
        <f t="shared" si="14"/>
        <v>0</v>
      </c>
      <c r="Z100" s="51">
        <f t="shared" si="15"/>
        <v>0</v>
      </c>
      <c r="AA100" s="51">
        <f t="shared" si="16"/>
        <v>0</v>
      </c>
    </row>
    <row r="101" spans="1:27">
      <c r="A101" s="2" t="s">
        <v>41</v>
      </c>
      <c r="B101" s="5" t="s">
        <v>54</v>
      </c>
      <c r="C101" s="352">
        <v>7</v>
      </c>
      <c r="D101" s="20" t="s">
        <v>11</v>
      </c>
      <c r="E101" s="67"/>
      <c r="F101" s="68"/>
      <c r="G101" s="68"/>
      <c r="H101" s="69">
        <v>81</v>
      </c>
      <c r="I101" s="68"/>
      <c r="J101" s="68"/>
      <c r="K101" s="70">
        <v>8</v>
      </c>
      <c r="L101" s="68"/>
      <c r="M101" s="71"/>
      <c r="N101" s="101">
        <f t="shared" si="10"/>
        <v>73</v>
      </c>
      <c r="O101" s="180"/>
      <c r="P101" s="111">
        <f t="shared" si="11"/>
        <v>0</v>
      </c>
      <c r="Q101" s="112">
        <f t="shared" si="12"/>
        <v>0</v>
      </c>
      <c r="R101" s="112">
        <f t="shared" si="13"/>
        <v>0</v>
      </c>
      <c r="S101" s="172"/>
      <c r="T101" s="127">
        <f t="shared" ref="T101:T144" si="17">S101*H101</f>
        <v>0</v>
      </c>
      <c r="U101" s="172"/>
      <c r="V101" s="137">
        <f t="shared" si="14"/>
        <v>0</v>
      </c>
      <c r="W101" s="49"/>
      <c r="Z101" s="51">
        <f t="shared" si="15"/>
        <v>0</v>
      </c>
      <c r="AA101" s="51">
        <f t="shared" si="16"/>
        <v>0</v>
      </c>
    </row>
    <row r="102" spans="1:27">
      <c r="A102" s="2" t="s">
        <v>41</v>
      </c>
      <c r="B102" s="5" t="s">
        <v>55</v>
      </c>
      <c r="C102" s="352">
        <v>7</v>
      </c>
      <c r="D102" s="20" t="s">
        <v>11</v>
      </c>
      <c r="E102" s="67"/>
      <c r="F102" s="68"/>
      <c r="G102" s="68"/>
      <c r="H102" s="69">
        <v>30</v>
      </c>
      <c r="I102" s="68"/>
      <c r="J102" s="68"/>
      <c r="K102" s="70">
        <v>3</v>
      </c>
      <c r="L102" s="68"/>
      <c r="M102" s="71"/>
      <c r="N102" s="101">
        <f t="shared" si="10"/>
        <v>27</v>
      </c>
      <c r="O102" s="180"/>
      <c r="P102" s="111">
        <f t="shared" si="11"/>
        <v>0</v>
      </c>
      <c r="Q102" s="112">
        <f t="shared" si="12"/>
        <v>0</v>
      </c>
      <c r="R102" s="112">
        <f t="shared" si="13"/>
        <v>0</v>
      </c>
      <c r="S102" s="172"/>
      <c r="T102" s="127">
        <f t="shared" si="17"/>
        <v>0</v>
      </c>
      <c r="U102" s="172"/>
      <c r="V102" s="137">
        <f t="shared" si="14"/>
        <v>0</v>
      </c>
      <c r="W102" s="49"/>
      <c r="Z102" s="51">
        <f t="shared" si="15"/>
        <v>0</v>
      </c>
      <c r="AA102" s="51">
        <f t="shared" si="16"/>
        <v>0</v>
      </c>
    </row>
    <row r="103" spans="1:27">
      <c r="A103" s="2" t="s">
        <v>41</v>
      </c>
      <c r="B103" s="5" t="s">
        <v>42</v>
      </c>
      <c r="C103" s="352">
        <v>8</v>
      </c>
      <c r="D103" s="20" t="s">
        <v>26</v>
      </c>
      <c r="E103" s="67"/>
      <c r="F103" s="68"/>
      <c r="G103" s="68"/>
      <c r="H103" s="69">
        <v>102</v>
      </c>
      <c r="I103" s="68"/>
      <c r="J103" s="68"/>
      <c r="K103" s="70">
        <v>9</v>
      </c>
      <c r="L103" s="68"/>
      <c r="M103" s="71"/>
      <c r="N103" s="101">
        <f t="shared" si="10"/>
        <v>93</v>
      </c>
      <c r="O103" s="180"/>
      <c r="P103" s="111">
        <f t="shared" si="11"/>
        <v>0</v>
      </c>
      <c r="Q103" s="112">
        <f t="shared" si="12"/>
        <v>0</v>
      </c>
      <c r="R103" s="112">
        <f t="shared" si="13"/>
        <v>0</v>
      </c>
      <c r="S103" s="172"/>
      <c r="T103" s="127">
        <f t="shared" si="17"/>
        <v>0</v>
      </c>
      <c r="U103" s="172"/>
      <c r="V103" s="137">
        <f t="shared" si="14"/>
        <v>0</v>
      </c>
      <c r="W103" s="49"/>
      <c r="Z103" s="51">
        <f t="shared" si="15"/>
        <v>0</v>
      </c>
      <c r="AA103" s="51">
        <f t="shared" si="16"/>
        <v>0</v>
      </c>
    </row>
    <row r="104" spans="1:27">
      <c r="A104" s="2" t="s">
        <v>41</v>
      </c>
      <c r="B104" s="5" t="s">
        <v>43</v>
      </c>
      <c r="C104" s="352">
        <v>8</v>
      </c>
      <c r="D104" s="20" t="s">
        <v>26</v>
      </c>
      <c r="E104" s="67"/>
      <c r="F104" s="68"/>
      <c r="G104" s="68"/>
      <c r="H104" s="69">
        <v>53</v>
      </c>
      <c r="I104" s="68"/>
      <c r="J104" s="68"/>
      <c r="K104" s="70">
        <v>5</v>
      </c>
      <c r="L104" s="68"/>
      <c r="M104" s="71"/>
      <c r="N104" s="101">
        <f t="shared" si="10"/>
        <v>48</v>
      </c>
      <c r="O104" s="180"/>
      <c r="P104" s="111">
        <f t="shared" si="11"/>
        <v>0</v>
      </c>
      <c r="Q104" s="112">
        <f t="shared" si="12"/>
        <v>0</v>
      </c>
      <c r="R104" s="112">
        <f t="shared" si="13"/>
        <v>0</v>
      </c>
      <c r="S104" s="172"/>
      <c r="T104" s="127">
        <f t="shared" si="17"/>
        <v>0</v>
      </c>
      <c r="U104" s="172"/>
      <c r="V104" s="137">
        <f t="shared" si="14"/>
        <v>0</v>
      </c>
      <c r="W104" s="49"/>
      <c r="Z104" s="51">
        <f t="shared" si="15"/>
        <v>0</v>
      </c>
      <c r="AA104" s="51">
        <f t="shared" si="16"/>
        <v>0</v>
      </c>
    </row>
    <row r="105" spans="1:27">
      <c r="A105" s="2" t="s">
        <v>41</v>
      </c>
      <c r="B105" s="5" t="s">
        <v>44</v>
      </c>
      <c r="C105" s="352">
        <v>8</v>
      </c>
      <c r="D105" s="20" t="s">
        <v>26</v>
      </c>
      <c r="E105" s="67"/>
      <c r="F105" s="68"/>
      <c r="G105" s="68"/>
      <c r="H105" s="69">
        <v>114</v>
      </c>
      <c r="I105" s="68"/>
      <c r="J105" s="68"/>
      <c r="K105" s="70">
        <v>11</v>
      </c>
      <c r="L105" s="68"/>
      <c r="M105" s="71"/>
      <c r="N105" s="101">
        <f t="shared" si="10"/>
        <v>103</v>
      </c>
      <c r="O105" s="180"/>
      <c r="P105" s="111">
        <f t="shared" si="11"/>
        <v>0</v>
      </c>
      <c r="Q105" s="112">
        <f t="shared" si="12"/>
        <v>0</v>
      </c>
      <c r="R105" s="112">
        <f t="shared" si="13"/>
        <v>0</v>
      </c>
      <c r="S105" s="172"/>
      <c r="T105" s="127">
        <f t="shared" si="17"/>
        <v>0</v>
      </c>
      <c r="U105" s="172"/>
      <c r="V105" s="137">
        <f t="shared" si="14"/>
        <v>0</v>
      </c>
      <c r="W105" s="49"/>
      <c r="Z105" s="51">
        <f t="shared" si="15"/>
        <v>0</v>
      </c>
      <c r="AA105" s="51">
        <f t="shared" si="16"/>
        <v>0</v>
      </c>
    </row>
    <row r="106" spans="1:27">
      <c r="A106" s="2" t="s">
        <v>41</v>
      </c>
      <c r="B106" s="5" t="s">
        <v>45</v>
      </c>
      <c r="C106" s="352">
        <v>8</v>
      </c>
      <c r="D106" s="20" t="s">
        <v>26</v>
      </c>
      <c r="E106" s="67"/>
      <c r="F106" s="68"/>
      <c r="G106" s="68"/>
      <c r="H106" s="69">
        <v>41</v>
      </c>
      <c r="I106" s="68"/>
      <c r="J106" s="68"/>
      <c r="K106" s="70">
        <v>4</v>
      </c>
      <c r="L106" s="68"/>
      <c r="M106" s="71"/>
      <c r="N106" s="101">
        <f t="shared" si="10"/>
        <v>37</v>
      </c>
      <c r="O106" s="180"/>
      <c r="P106" s="111">
        <f t="shared" si="11"/>
        <v>0</v>
      </c>
      <c r="Q106" s="112">
        <f t="shared" si="12"/>
        <v>0</v>
      </c>
      <c r="R106" s="112">
        <f t="shared" si="13"/>
        <v>0</v>
      </c>
      <c r="S106" s="172"/>
      <c r="T106" s="127">
        <f t="shared" si="17"/>
        <v>0</v>
      </c>
      <c r="U106" s="172"/>
      <c r="V106" s="137">
        <f t="shared" si="14"/>
        <v>0</v>
      </c>
      <c r="W106" s="49"/>
      <c r="Z106" s="51">
        <f t="shared" si="15"/>
        <v>0</v>
      </c>
      <c r="AA106" s="51">
        <f t="shared" si="16"/>
        <v>0</v>
      </c>
    </row>
    <row r="107" spans="1:27">
      <c r="A107" s="2" t="s">
        <v>41</v>
      </c>
      <c r="B107" s="5" t="s">
        <v>46</v>
      </c>
      <c r="C107" s="352">
        <v>8</v>
      </c>
      <c r="D107" s="20" t="s">
        <v>26</v>
      </c>
      <c r="E107" s="67"/>
      <c r="F107" s="68"/>
      <c r="G107" s="68"/>
      <c r="H107" s="69">
        <v>135</v>
      </c>
      <c r="I107" s="68"/>
      <c r="J107" s="68"/>
      <c r="K107" s="70">
        <v>12</v>
      </c>
      <c r="L107" s="68"/>
      <c r="M107" s="71"/>
      <c r="N107" s="101">
        <f t="shared" si="10"/>
        <v>123</v>
      </c>
      <c r="O107" s="180"/>
      <c r="P107" s="111">
        <f t="shared" si="11"/>
        <v>0</v>
      </c>
      <c r="Q107" s="112">
        <f t="shared" si="12"/>
        <v>0</v>
      </c>
      <c r="R107" s="112">
        <f t="shared" si="13"/>
        <v>0</v>
      </c>
      <c r="S107" s="172"/>
      <c r="T107" s="127">
        <f t="shared" si="17"/>
        <v>0</v>
      </c>
      <c r="U107" s="172"/>
      <c r="V107" s="137">
        <f t="shared" si="14"/>
        <v>0</v>
      </c>
      <c r="W107" s="49"/>
      <c r="Z107" s="51">
        <f t="shared" si="15"/>
        <v>0</v>
      </c>
      <c r="AA107" s="51">
        <f t="shared" si="16"/>
        <v>0</v>
      </c>
    </row>
    <row r="108" spans="1:27">
      <c r="A108" s="2" t="s">
        <v>41</v>
      </c>
      <c r="B108" s="5" t="s">
        <v>47</v>
      </c>
      <c r="C108" s="352">
        <v>8</v>
      </c>
      <c r="D108" s="20" t="s">
        <v>26</v>
      </c>
      <c r="E108" s="67"/>
      <c r="F108" s="68"/>
      <c r="G108" s="68"/>
      <c r="H108" s="69">
        <v>50</v>
      </c>
      <c r="I108" s="68"/>
      <c r="J108" s="68"/>
      <c r="K108" s="70">
        <v>4</v>
      </c>
      <c r="L108" s="68"/>
      <c r="M108" s="71"/>
      <c r="N108" s="101">
        <f t="shared" si="10"/>
        <v>46</v>
      </c>
      <c r="O108" s="180"/>
      <c r="P108" s="111">
        <f t="shared" si="11"/>
        <v>0</v>
      </c>
      <c r="Q108" s="112">
        <f t="shared" si="12"/>
        <v>0</v>
      </c>
      <c r="R108" s="112">
        <f t="shared" si="13"/>
        <v>0</v>
      </c>
      <c r="S108" s="172"/>
      <c r="T108" s="127">
        <f t="shared" si="17"/>
        <v>0</v>
      </c>
      <c r="U108" s="172"/>
      <c r="V108" s="137">
        <f t="shared" si="14"/>
        <v>0</v>
      </c>
      <c r="W108" s="49"/>
      <c r="Z108" s="51">
        <f t="shared" si="15"/>
        <v>0</v>
      </c>
      <c r="AA108" s="51">
        <f t="shared" si="16"/>
        <v>0</v>
      </c>
    </row>
    <row r="109" spans="1:27">
      <c r="A109" s="2" t="s">
        <v>41</v>
      </c>
      <c r="B109" s="5" t="s">
        <v>48</v>
      </c>
      <c r="C109" s="352">
        <v>8</v>
      </c>
      <c r="D109" s="20" t="s">
        <v>26</v>
      </c>
      <c r="E109" s="67"/>
      <c r="F109" s="68"/>
      <c r="G109" s="68"/>
      <c r="H109" s="69">
        <v>112</v>
      </c>
      <c r="I109" s="68"/>
      <c r="J109" s="68"/>
      <c r="K109" s="70">
        <v>11</v>
      </c>
      <c r="L109" s="68"/>
      <c r="M109" s="71"/>
      <c r="N109" s="101">
        <f t="shared" si="10"/>
        <v>101</v>
      </c>
      <c r="O109" s="180"/>
      <c r="P109" s="111">
        <f t="shared" si="11"/>
        <v>0</v>
      </c>
      <c r="Q109" s="112">
        <f t="shared" si="12"/>
        <v>0</v>
      </c>
      <c r="R109" s="112">
        <f t="shared" si="13"/>
        <v>0</v>
      </c>
      <c r="S109" s="172"/>
      <c r="T109" s="127">
        <f t="shared" si="17"/>
        <v>0</v>
      </c>
      <c r="U109" s="172"/>
      <c r="V109" s="137">
        <f t="shared" si="14"/>
        <v>0</v>
      </c>
      <c r="W109" s="49"/>
      <c r="Z109" s="51">
        <f t="shared" si="15"/>
        <v>0</v>
      </c>
      <c r="AA109" s="51">
        <f t="shared" si="16"/>
        <v>0</v>
      </c>
    </row>
    <row r="110" spans="1:27">
      <c r="A110" s="2" t="s">
        <v>41</v>
      </c>
      <c r="B110" s="5" t="s">
        <v>49</v>
      </c>
      <c r="C110" s="352">
        <v>8</v>
      </c>
      <c r="D110" s="20" t="s">
        <v>26</v>
      </c>
      <c r="E110" s="67"/>
      <c r="F110" s="68"/>
      <c r="G110" s="68"/>
      <c r="H110" s="69">
        <v>47</v>
      </c>
      <c r="I110" s="68"/>
      <c r="J110" s="68"/>
      <c r="K110" s="70">
        <v>5</v>
      </c>
      <c r="L110" s="68"/>
      <c r="M110" s="71"/>
      <c r="N110" s="101">
        <f t="shared" si="10"/>
        <v>42</v>
      </c>
      <c r="O110" s="180"/>
      <c r="P110" s="111">
        <f t="shared" si="11"/>
        <v>0</v>
      </c>
      <c r="Q110" s="112">
        <f t="shared" si="12"/>
        <v>0</v>
      </c>
      <c r="R110" s="112">
        <f t="shared" si="13"/>
        <v>0</v>
      </c>
      <c r="S110" s="172"/>
      <c r="T110" s="127">
        <f t="shared" si="17"/>
        <v>0</v>
      </c>
      <c r="U110" s="172"/>
      <c r="V110" s="137">
        <f t="shared" si="14"/>
        <v>0</v>
      </c>
      <c r="W110" s="49"/>
      <c r="Z110" s="51">
        <f t="shared" si="15"/>
        <v>0</v>
      </c>
      <c r="AA110" s="51">
        <f t="shared" si="16"/>
        <v>0</v>
      </c>
    </row>
    <row r="111" spans="1:27">
      <c r="A111" s="2" t="s">
        <v>41</v>
      </c>
      <c r="B111" s="5" t="s">
        <v>50</v>
      </c>
      <c r="C111" s="352">
        <v>8</v>
      </c>
      <c r="D111" s="20" t="s">
        <v>26</v>
      </c>
      <c r="E111" s="67"/>
      <c r="F111" s="68"/>
      <c r="G111" s="68"/>
      <c r="H111" s="69">
        <v>144</v>
      </c>
      <c r="I111" s="68"/>
      <c r="J111" s="68"/>
      <c r="K111" s="70">
        <v>15</v>
      </c>
      <c r="L111" s="68"/>
      <c r="M111" s="71"/>
      <c r="N111" s="101">
        <f t="shared" si="10"/>
        <v>129</v>
      </c>
      <c r="O111" s="180"/>
      <c r="P111" s="111">
        <f t="shared" si="11"/>
        <v>0</v>
      </c>
      <c r="Q111" s="112">
        <f t="shared" si="12"/>
        <v>0</v>
      </c>
      <c r="R111" s="112">
        <f t="shared" si="13"/>
        <v>0</v>
      </c>
      <c r="S111" s="172"/>
      <c r="T111" s="127">
        <f t="shared" si="17"/>
        <v>0</v>
      </c>
      <c r="U111" s="172"/>
      <c r="V111" s="137">
        <f t="shared" si="14"/>
        <v>0</v>
      </c>
      <c r="Z111" s="51">
        <f t="shared" si="15"/>
        <v>0</v>
      </c>
      <c r="AA111" s="51">
        <f t="shared" si="16"/>
        <v>0</v>
      </c>
    </row>
    <row r="112" spans="1:27">
      <c r="A112" s="2" t="s">
        <v>41</v>
      </c>
      <c r="B112" s="5" t="s">
        <v>51</v>
      </c>
      <c r="C112" s="352">
        <v>8</v>
      </c>
      <c r="D112" s="20" t="s">
        <v>26</v>
      </c>
      <c r="E112" s="67"/>
      <c r="F112" s="68"/>
      <c r="G112" s="68"/>
      <c r="H112" s="69">
        <v>44</v>
      </c>
      <c r="I112" s="68"/>
      <c r="J112" s="68"/>
      <c r="K112" s="70">
        <v>4</v>
      </c>
      <c r="L112" s="68"/>
      <c r="M112" s="71"/>
      <c r="N112" s="101">
        <f t="shared" si="10"/>
        <v>40</v>
      </c>
      <c r="O112" s="180"/>
      <c r="P112" s="111">
        <f t="shared" si="11"/>
        <v>0</v>
      </c>
      <c r="Q112" s="112">
        <f t="shared" si="12"/>
        <v>0</v>
      </c>
      <c r="R112" s="112">
        <f t="shared" si="13"/>
        <v>0</v>
      </c>
      <c r="S112" s="172"/>
      <c r="T112" s="127">
        <f t="shared" si="17"/>
        <v>0</v>
      </c>
      <c r="U112" s="172"/>
      <c r="V112" s="137">
        <f t="shared" si="14"/>
        <v>0</v>
      </c>
      <c r="Z112" s="51">
        <f t="shared" si="15"/>
        <v>0</v>
      </c>
      <c r="AA112" s="51">
        <f t="shared" si="16"/>
        <v>0</v>
      </c>
    </row>
    <row r="113" spans="1:27">
      <c r="A113" s="2" t="s">
        <v>41</v>
      </c>
      <c r="B113" s="5" t="s">
        <v>52</v>
      </c>
      <c r="C113" s="352">
        <v>8</v>
      </c>
      <c r="D113" s="20" t="s">
        <v>26</v>
      </c>
      <c r="E113" s="67"/>
      <c r="F113" s="68"/>
      <c r="G113" s="68"/>
      <c r="H113" s="69">
        <v>109</v>
      </c>
      <c r="I113" s="68"/>
      <c r="J113" s="68"/>
      <c r="K113" s="70">
        <v>10</v>
      </c>
      <c r="L113" s="68"/>
      <c r="M113" s="71"/>
      <c r="N113" s="101">
        <f t="shared" si="10"/>
        <v>99</v>
      </c>
      <c r="O113" s="180"/>
      <c r="P113" s="111">
        <f t="shared" si="11"/>
        <v>0</v>
      </c>
      <c r="Q113" s="112">
        <f t="shared" si="12"/>
        <v>0</v>
      </c>
      <c r="R113" s="112">
        <f t="shared" si="13"/>
        <v>0</v>
      </c>
      <c r="S113" s="172"/>
      <c r="T113" s="127">
        <f t="shared" si="17"/>
        <v>0</v>
      </c>
      <c r="U113" s="172"/>
      <c r="V113" s="137">
        <f t="shared" si="14"/>
        <v>0</v>
      </c>
      <c r="Z113" s="51">
        <f t="shared" si="15"/>
        <v>0</v>
      </c>
      <c r="AA113" s="51">
        <f t="shared" si="16"/>
        <v>0</v>
      </c>
    </row>
    <row r="114" spans="1:27">
      <c r="A114" s="2" t="s">
        <v>41</v>
      </c>
      <c r="B114" s="5" t="s">
        <v>53</v>
      </c>
      <c r="C114" s="352">
        <v>8</v>
      </c>
      <c r="D114" s="20" t="s">
        <v>26</v>
      </c>
      <c r="E114" s="67"/>
      <c r="F114" s="68"/>
      <c r="G114" s="68"/>
      <c r="H114" s="69">
        <v>53</v>
      </c>
      <c r="I114" s="68"/>
      <c r="J114" s="68"/>
      <c r="K114" s="70">
        <v>5</v>
      </c>
      <c r="L114" s="68"/>
      <c r="M114" s="71"/>
      <c r="N114" s="101">
        <f t="shared" si="10"/>
        <v>48</v>
      </c>
      <c r="O114" s="180"/>
      <c r="P114" s="111">
        <f t="shared" si="11"/>
        <v>0</v>
      </c>
      <c r="Q114" s="112">
        <f t="shared" si="12"/>
        <v>0</v>
      </c>
      <c r="R114" s="112">
        <f t="shared" si="13"/>
        <v>0</v>
      </c>
      <c r="S114" s="172"/>
      <c r="T114" s="127">
        <f t="shared" si="17"/>
        <v>0</v>
      </c>
      <c r="U114" s="172"/>
      <c r="V114" s="137">
        <f t="shared" si="14"/>
        <v>0</v>
      </c>
      <c r="Z114" s="51">
        <f t="shared" si="15"/>
        <v>0</v>
      </c>
      <c r="AA114" s="51">
        <f t="shared" si="16"/>
        <v>0</v>
      </c>
    </row>
    <row r="115" spans="1:27">
      <c r="A115" s="2" t="s">
        <v>41</v>
      </c>
      <c r="B115" s="5" t="s">
        <v>54</v>
      </c>
      <c r="C115" s="352">
        <v>8</v>
      </c>
      <c r="D115" s="20" t="s">
        <v>26</v>
      </c>
      <c r="E115" s="67"/>
      <c r="F115" s="68"/>
      <c r="G115" s="68"/>
      <c r="H115" s="69">
        <v>87</v>
      </c>
      <c r="I115" s="68"/>
      <c r="J115" s="68"/>
      <c r="K115" s="70">
        <v>8</v>
      </c>
      <c r="L115" s="68"/>
      <c r="M115" s="71"/>
      <c r="N115" s="101">
        <f t="shared" si="10"/>
        <v>79</v>
      </c>
      <c r="O115" s="180"/>
      <c r="P115" s="111">
        <f t="shared" si="11"/>
        <v>0</v>
      </c>
      <c r="Q115" s="112">
        <f t="shared" si="12"/>
        <v>0</v>
      </c>
      <c r="R115" s="112">
        <f t="shared" si="13"/>
        <v>0</v>
      </c>
      <c r="S115" s="172"/>
      <c r="T115" s="127">
        <f t="shared" si="17"/>
        <v>0</v>
      </c>
      <c r="U115" s="172"/>
      <c r="V115" s="137">
        <f t="shared" si="14"/>
        <v>0</v>
      </c>
      <c r="W115" s="49"/>
      <c r="Z115" s="51">
        <f t="shared" si="15"/>
        <v>0</v>
      </c>
      <c r="AA115" s="51">
        <f t="shared" si="16"/>
        <v>0</v>
      </c>
    </row>
    <row r="116" spans="1:27">
      <c r="A116" s="2" t="s">
        <v>41</v>
      </c>
      <c r="B116" s="5" t="s">
        <v>55</v>
      </c>
      <c r="C116" s="352">
        <v>8</v>
      </c>
      <c r="D116" s="20" t="s">
        <v>26</v>
      </c>
      <c r="E116" s="67"/>
      <c r="F116" s="68"/>
      <c r="G116" s="68"/>
      <c r="H116" s="69">
        <v>29</v>
      </c>
      <c r="I116" s="68"/>
      <c r="J116" s="68"/>
      <c r="K116" s="70">
        <v>3</v>
      </c>
      <c r="L116" s="68"/>
      <c r="M116" s="71"/>
      <c r="N116" s="101">
        <f t="shared" si="10"/>
        <v>26</v>
      </c>
      <c r="O116" s="180"/>
      <c r="P116" s="111">
        <f t="shared" si="11"/>
        <v>0</v>
      </c>
      <c r="Q116" s="112">
        <f t="shared" si="12"/>
        <v>0</v>
      </c>
      <c r="R116" s="112">
        <f t="shared" si="13"/>
        <v>0</v>
      </c>
      <c r="S116" s="172"/>
      <c r="T116" s="127">
        <f t="shared" si="17"/>
        <v>0</v>
      </c>
      <c r="U116" s="172"/>
      <c r="V116" s="137">
        <f t="shared" si="14"/>
        <v>0</v>
      </c>
      <c r="W116" s="49"/>
      <c r="Z116" s="51">
        <f t="shared" si="15"/>
        <v>0</v>
      </c>
      <c r="AA116" s="51">
        <f t="shared" si="16"/>
        <v>0</v>
      </c>
    </row>
    <row r="117" spans="1:27">
      <c r="A117" s="2" t="s">
        <v>41</v>
      </c>
      <c r="B117" s="5" t="s">
        <v>42</v>
      </c>
      <c r="C117" s="352">
        <v>9</v>
      </c>
      <c r="D117" s="20" t="s">
        <v>286</v>
      </c>
      <c r="E117" s="67"/>
      <c r="F117" s="68"/>
      <c r="G117" s="68"/>
      <c r="H117" s="69">
        <v>78</v>
      </c>
      <c r="I117" s="68"/>
      <c r="J117" s="68"/>
      <c r="K117" s="70">
        <v>7</v>
      </c>
      <c r="L117" s="68"/>
      <c r="M117" s="71"/>
      <c r="N117" s="101">
        <f t="shared" si="10"/>
        <v>71</v>
      </c>
      <c r="O117" s="180"/>
      <c r="P117" s="111">
        <f t="shared" si="11"/>
        <v>0</v>
      </c>
      <c r="Q117" s="112">
        <f t="shared" si="12"/>
        <v>0</v>
      </c>
      <c r="R117" s="112">
        <f t="shared" si="13"/>
        <v>0</v>
      </c>
      <c r="S117" s="172"/>
      <c r="T117" s="127">
        <f t="shared" si="17"/>
        <v>0</v>
      </c>
      <c r="U117" s="172"/>
      <c r="V117" s="137">
        <f t="shared" si="14"/>
        <v>0</v>
      </c>
      <c r="W117" s="49"/>
      <c r="Z117" s="51">
        <f t="shared" si="15"/>
        <v>0</v>
      </c>
      <c r="AA117" s="51">
        <f t="shared" si="16"/>
        <v>0</v>
      </c>
    </row>
    <row r="118" spans="1:27">
      <c r="A118" s="2" t="s">
        <v>41</v>
      </c>
      <c r="B118" s="5" t="s">
        <v>43</v>
      </c>
      <c r="C118" s="352">
        <v>9</v>
      </c>
      <c r="D118" s="20" t="s">
        <v>286</v>
      </c>
      <c r="E118" s="67"/>
      <c r="F118" s="68"/>
      <c r="G118" s="68"/>
      <c r="H118" s="69">
        <v>37</v>
      </c>
      <c r="I118" s="68"/>
      <c r="J118" s="68"/>
      <c r="K118" s="70">
        <v>4</v>
      </c>
      <c r="L118" s="68"/>
      <c r="M118" s="71"/>
      <c r="N118" s="101">
        <f t="shared" si="10"/>
        <v>33</v>
      </c>
      <c r="O118" s="180"/>
      <c r="P118" s="111">
        <f t="shared" si="11"/>
        <v>0</v>
      </c>
      <c r="Q118" s="112">
        <f t="shared" si="12"/>
        <v>0</v>
      </c>
      <c r="R118" s="112">
        <f t="shared" si="13"/>
        <v>0</v>
      </c>
      <c r="S118" s="172"/>
      <c r="T118" s="127">
        <f t="shared" si="17"/>
        <v>0</v>
      </c>
      <c r="U118" s="172"/>
      <c r="V118" s="137">
        <f t="shared" si="14"/>
        <v>0</v>
      </c>
      <c r="W118" s="49"/>
      <c r="Z118" s="51">
        <f t="shared" si="15"/>
        <v>0</v>
      </c>
      <c r="AA118" s="51">
        <f t="shared" si="16"/>
        <v>0</v>
      </c>
    </row>
    <row r="119" spans="1:27">
      <c r="A119" s="2" t="s">
        <v>41</v>
      </c>
      <c r="B119" s="5" t="s">
        <v>44</v>
      </c>
      <c r="C119" s="352">
        <v>9</v>
      </c>
      <c r="D119" s="20" t="s">
        <v>286</v>
      </c>
      <c r="E119" s="67"/>
      <c r="F119" s="68"/>
      <c r="G119" s="68"/>
      <c r="H119" s="69">
        <v>102</v>
      </c>
      <c r="I119" s="68"/>
      <c r="J119" s="68"/>
      <c r="K119" s="70">
        <v>12</v>
      </c>
      <c r="L119" s="68"/>
      <c r="M119" s="71"/>
      <c r="N119" s="101">
        <f t="shared" si="10"/>
        <v>90</v>
      </c>
      <c r="O119" s="180"/>
      <c r="P119" s="111">
        <f t="shared" si="11"/>
        <v>0</v>
      </c>
      <c r="Q119" s="112">
        <f t="shared" si="12"/>
        <v>0</v>
      </c>
      <c r="R119" s="112">
        <f t="shared" si="13"/>
        <v>0</v>
      </c>
      <c r="S119" s="172"/>
      <c r="T119" s="127">
        <f t="shared" si="17"/>
        <v>0</v>
      </c>
      <c r="U119" s="172"/>
      <c r="V119" s="137">
        <f t="shared" si="14"/>
        <v>0</v>
      </c>
      <c r="W119" s="49"/>
      <c r="Z119" s="51">
        <f t="shared" si="15"/>
        <v>0</v>
      </c>
      <c r="AA119" s="51">
        <f t="shared" si="16"/>
        <v>0</v>
      </c>
    </row>
    <row r="120" spans="1:27">
      <c r="A120" s="2" t="s">
        <v>41</v>
      </c>
      <c r="B120" s="5" t="s">
        <v>45</v>
      </c>
      <c r="C120" s="352">
        <v>9</v>
      </c>
      <c r="D120" s="20" t="s">
        <v>286</v>
      </c>
      <c r="E120" s="67"/>
      <c r="F120" s="68"/>
      <c r="G120" s="68"/>
      <c r="H120" s="69">
        <v>29</v>
      </c>
      <c r="I120" s="68"/>
      <c r="J120" s="68"/>
      <c r="K120" s="70">
        <v>3</v>
      </c>
      <c r="L120" s="68"/>
      <c r="M120" s="71"/>
      <c r="N120" s="101">
        <f t="shared" si="10"/>
        <v>26</v>
      </c>
      <c r="O120" s="180"/>
      <c r="P120" s="111">
        <f t="shared" si="11"/>
        <v>0</v>
      </c>
      <c r="Q120" s="112">
        <f t="shared" si="12"/>
        <v>0</v>
      </c>
      <c r="R120" s="112">
        <f t="shared" si="13"/>
        <v>0</v>
      </c>
      <c r="S120" s="172"/>
      <c r="T120" s="127">
        <f t="shared" si="17"/>
        <v>0</v>
      </c>
      <c r="U120" s="172"/>
      <c r="V120" s="137">
        <f t="shared" si="14"/>
        <v>0</v>
      </c>
      <c r="W120" s="49"/>
      <c r="Z120" s="51">
        <f t="shared" si="15"/>
        <v>0</v>
      </c>
      <c r="AA120" s="51">
        <f t="shared" si="16"/>
        <v>0</v>
      </c>
    </row>
    <row r="121" spans="1:27">
      <c r="A121" s="2" t="s">
        <v>41</v>
      </c>
      <c r="B121" s="5" t="s">
        <v>46</v>
      </c>
      <c r="C121" s="352">
        <v>9</v>
      </c>
      <c r="D121" s="20" t="s">
        <v>286</v>
      </c>
      <c r="E121" s="67"/>
      <c r="F121" s="68"/>
      <c r="G121" s="68"/>
      <c r="H121" s="69">
        <v>98</v>
      </c>
      <c r="I121" s="68"/>
      <c r="J121" s="68"/>
      <c r="K121" s="70">
        <v>9</v>
      </c>
      <c r="L121" s="68"/>
      <c r="M121" s="71"/>
      <c r="N121" s="101">
        <f t="shared" si="10"/>
        <v>89</v>
      </c>
      <c r="O121" s="180"/>
      <c r="P121" s="111">
        <f t="shared" si="11"/>
        <v>0</v>
      </c>
      <c r="Q121" s="112">
        <f t="shared" si="12"/>
        <v>0</v>
      </c>
      <c r="R121" s="112">
        <f t="shared" si="13"/>
        <v>0</v>
      </c>
      <c r="S121" s="172"/>
      <c r="T121" s="127">
        <f t="shared" si="17"/>
        <v>0</v>
      </c>
      <c r="U121" s="172"/>
      <c r="V121" s="137">
        <f t="shared" si="14"/>
        <v>0</v>
      </c>
      <c r="W121" s="49"/>
      <c r="Z121" s="51">
        <f t="shared" si="15"/>
        <v>0</v>
      </c>
      <c r="AA121" s="51">
        <f t="shared" si="16"/>
        <v>0</v>
      </c>
    </row>
    <row r="122" spans="1:27">
      <c r="A122" s="2" t="s">
        <v>41</v>
      </c>
      <c r="B122" s="5" t="s">
        <v>47</v>
      </c>
      <c r="C122" s="352">
        <v>9</v>
      </c>
      <c r="D122" s="20" t="s">
        <v>286</v>
      </c>
      <c r="E122" s="67"/>
      <c r="F122" s="68"/>
      <c r="G122" s="68"/>
      <c r="H122" s="69">
        <v>42</v>
      </c>
      <c r="I122" s="68"/>
      <c r="J122" s="68"/>
      <c r="K122" s="70">
        <v>4</v>
      </c>
      <c r="L122" s="68"/>
      <c r="M122" s="71"/>
      <c r="N122" s="101">
        <f t="shared" si="10"/>
        <v>38</v>
      </c>
      <c r="O122" s="180"/>
      <c r="P122" s="111">
        <f t="shared" si="11"/>
        <v>0</v>
      </c>
      <c r="Q122" s="112">
        <f t="shared" si="12"/>
        <v>0</v>
      </c>
      <c r="R122" s="112">
        <f t="shared" si="13"/>
        <v>0</v>
      </c>
      <c r="S122" s="172"/>
      <c r="T122" s="127">
        <f t="shared" si="17"/>
        <v>0</v>
      </c>
      <c r="U122" s="172"/>
      <c r="V122" s="137">
        <f t="shared" si="14"/>
        <v>0</v>
      </c>
      <c r="W122" s="49"/>
      <c r="Z122" s="51">
        <f t="shared" si="15"/>
        <v>0</v>
      </c>
      <c r="AA122" s="51">
        <f t="shared" si="16"/>
        <v>0</v>
      </c>
    </row>
    <row r="123" spans="1:27">
      <c r="A123" s="2" t="s">
        <v>41</v>
      </c>
      <c r="B123" s="5" t="s">
        <v>48</v>
      </c>
      <c r="C123" s="352">
        <v>9</v>
      </c>
      <c r="D123" s="20" t="s">
        <v>286</v>
      </c>
      <c r="E123" s="67"/>
      <c r="F123" s="68"/>
      <c r="G123" s="68"/>
      <c r="H123" s="69">
        <v>94</v>
      </c>
      <c r="I123" s="68"/>
      <c r="J123" s="68"/>
      <c r="K123" s="70">
        <v>10</v>
      </c>
      <c r="L123" s="68"/>
      <c r="M123" s="71"/>
      <c r="N123" s="101">
        <f t="shared" si="10"/>
        <v>84</v>
      </c>
      <c r="O123" s="180"/>
      <c r="P123" s="111">
        <f t="shared" si="11"/>
        <v>0</v>
      </c>
      <c r="Q123" s="112">
        <f t="shared" si="12"/>
        <v>0</v>
      </c>
      <c r="R123" s="112">
        <f t="shared" si="13"/>
        <v>0</v>
      </c>
      <c r="S123" s="172"/>
      <c r="T123" s="127">
        <f t="shared" si="17"/>
        <v>0</v>
      </c>
      <c r="U123" s="172"/>
      <c r="V123" s="137">
        <f t="shared" si="14"/>
        <v>0</v>
      </c>
      <c r="W123" s="49"/>
      <c r="Z123" s="51">
        <f t="shared" si="15"/>
        <v>0</v>
      </c>
      <c r="AA123" s="51">
        <f t="shared" si="16"/>
        <v>0</v>
      </c>
    </row>
    <row r="124" spans="1:27">
      <c r="A124" s="2" t="s">
        <v>41</v>
      </c>
      <c r="B124" s="5" t="s">
        <v>49</v>
      </c>
      <c r="C124" s="352">
        <v>9</v>
      </c>
      <c r="D124" s="20" t="s">
        <v>286</v>
      </c>
      <c r="E124" s="67"/>
      <c r="F124" s="68"/>
      <c r="G124" s="68"/>
      <c r="H124" s="69">
        <v>36</v>
      </c>
      <c r="I124" s="68"/>
      <c r="J124" s="68"/>
      <c r="K124" s="70">
        <v>4</v>
      </c>
      <c r="L124" s="68"/>
      <c r="M124" s="71"/>
      <c r="N124" s="101">
        <f t="shared" si="10"/>
        <v>32</v>
      </c>
      <c r="O124" s="180"/>
      <c r="P124" s="111">
        <f t="shared" si="11"/>
        <v>0</v>
      </c>
      <c r="Q124" s="112">
        <f t="shared" si="12"/>
        <v>0</v>
      </c>
      <c r="R124" s="112">
        <f t="shared" si="13"/>
        <v>0</v>
      </c>
      <c r="S124" s="172"/>
      <c r="T124" s="127">
        <f t="shared" si="17"/>
        <v>0</v>
      </c>
      <c r="U124" s="172"/>
      <c r="V124" s="137">
        <f t="shared" si="14"/>
        <v>0</v>
      </c>
      <c r="W124" s="49"/>
      <c r="Z124" s="51">
        <f t="shared" si="15"/>
        <v>0</v>
      </c>
      <c r="AA124" s="51">
        <f t="shared" si="16"/>
        <v>0</v>
      </c>
    </row>
    <row r="125" spans="1:27">
      <c r="A125" s="2" t="s">
        <v>41</v>
      </c>
      <c r="B125" s="5" t="s">
        <v>50</v>
      </c>
      <c r="C125" s="352">
        <v>9</v>
      </c>
      <c r="D125" s="20" t="s">
        <v>286</v>
      </c>
      <c r="E125" s="67"/>
      <c r="F125" s="68"/>
      <c r="G125" s="68"/>
      <c r="H125" s="69">
        <v>117</v>
      </c>
      <c r="I125" s="68"/>
      <c r="J125" s="68"/>
      <c r="K125" s="70">
        <v>10</v>
      </c>
      <c r="L125" s="68"/>
      <c r="M125" s="71"/>
      <c r="N125" s="101">
        <f t="shared" si="10"/>
        <v>107</v>
      </c>
      <c r="O125" s="180"/>
      <c r="P125" s="111">
        <f t="shared" si="11"/>
        <v>0</v>
      </c>
      <c r="Q125" s="112">
        <f t="shared" si="12"/>
        <v>0</v>
      </c>
      <c r="R125" s="112">
        <f t="shared" si="13"/>
        <v>0</v>
      </c>
      <c r="S125" s="172"/>
      <c r="T125" s="127">
        <f t="shared" si="17"/>
        <v>0</v>
      </c>
      <c r="U125" s="172"/>
      <c r="V125" s="137">
        <f t="shared" si="14"/>
        <v>0</v>
      </c>
      <c r="Z125" s="51">
        <f t="shared" si="15"/>
        <v>0</v>
      </c>
      <c r="AA125" s="51">
        <f t="shared" si="16"/>
        <v>0</v>
      </c>
    </row>
    <row r="126" spans="1:27">
      <c r="A126" s="2" t="s">
        <v>41</v>
      </c>
      <c r="B126" s="5" t="s">
        <v>51</v>
      </c>
      <c r="C126" s="352">
        <v>9</v>
      </c>
      <c r="D126" s="20" t="s">
        <v>286</v>
      </c>
      <c r="E126" s="67"/>
      <c r="F126" s="68"/>
      <c r="G126" s="68"/>
      <c r="H126" s="69">
        <v>30</v>
      </c>
      <c r="I126" s="68"/>
      <c r="J126" s="68"/>
      <c r="K126" s="70">
        <v>3</v>
      </c>
      <c r="L126" s="68"/>
      <c r="M126" s="71"/>
      <c r="N126" s="101">
        <f t="shared" si="10"/>
        <v>27</v>
      </c>
      <c r="O126" s="180"/>
      <c r="P126" s="111">
        <f t="shared" si="11"/>
        <v>0</v>
      </c>
      <c r="Q126" s="112">
        <f t="shared" si="12"/>
        <v>0</v>
      </c>
      <c r="R126" s="112">
        <f t="shared" si="13"/>
        <v>0</v>
      </c>
      <c r="S126" s="172"/>
      <c r="T126" s="127">
        <f t="shared" si="17"/>
        <v>0</v>
      </c>
      <c r="U126" s="172"/>
      <c r="V126" s="137">
        <f t="shared" si="14"/>
        <v>0</v>
      </c>
      <c r="Z126" s="51">
        <f t="shared" si="15"/>
        <v>0</v>
      </c>
      <c r="AA126" s="51">
        <f t="shared" si="16"/>
        <v>0</v>
      </c>
    </row>
    <row r="127" spans="1:27">
      <c r="A127" s="2" t="s">
        <v>41</v>
      </c>
      <c r="B127" s="5" t="s">
        <v>52</v>
      </c>
      <c r="C127" s="352">
        <v>9</v>
      </c>
      <c r="D127" s="20" t="s">
        <v>286</v>
      </c>
      <c r="E127" s="67"/>
      <c r="F127" s="68"/>
      <c r="G127" s="68"/>
      <c r="H127" s="69">
        <v>88</v>
      </c>
      <c r="I127" s="68"/>
      <c r="J127" s="68"/>
      <c r="K127" s="70">
        <v>8</v>
      </c>
      <c r="L127" s="68"/>
      <c r="M127" s="71"/>
      <c r="N127" s="101">
        <f t="shared" si="10"/>
        <v>80</v>
      </c>
      <c r="O127" s="180"/>
      <c r="P127" s="111">
        <f t="shared" si="11"/>
        <v>0</v>
      </c>
      <c r="Q127" s="112">
        <f t="shared" si="12"/>
        <v>0</v>
      </c>
      <c r="R127" s="112">
        <f t="shared" si="13"/>
        <v>0</v>
      </c>
      <c r="S127" s="172"/>
      <c r="T127" s="127">
        <f t="shared" si="17"/>
        <v>0</v>
      </c>
      <c r="U127" s="172"/>
      <c r="V127" s="137">
        <f t="shared" si="14"/>
        <v>0</v>
      </c>
      <c r="Z127" s="51">
        <f t="shared" si="15"/>
        <v>0</v>
      </c>
      <c r="AA127" s="51">
        <f t="shared" si="16"/>
        <v>0</v>
      </c>
    </row>
    <row r="128" spans="1:27">
      <c r="A128" s="2" t="s">
        <v>41</v>
      </c>
      <c r="B128" s="5" t="s">
        <v>53</v>
      </c>
      <c r="C128" s="352">
        <v>9</v>
      </c>
      <c r="D128" s="20" t="s">
        <v>286</v>
      </c>
      <c r="E128" s="67"/>
      <c r="F128" s="68"/>
      <c r="G128" s="68"/>
      <c r="H128" s="69">
        <v>51</v>
      </c>
      <c r="I128" s="68"/>
      <c r="J128" s="68"/>
      <c r="K128" s="70">
        <v>5</v>
      </c>
      <c r="L128" s="68"/>
      <c r="M128" s="71"/>
      <c r="N128" s="101">
        <f t="shared" si="10"/>
        <v>46</v>
      </c>
      <c r="O128" s="180"/>
      <c r="P128" s="111">
        <f t="shared" si="11"/>
        <v>0</v>
      </c>
      <c r="Q128" s="112">
        <f t="shared" si="12"/>
        <v>0</v>
      </c>
      <c r="R128" s="112">
        <f t="shared" si="13"/>
        <v>0</v>
      </c>
      <c r="S128" s="172"/>
      <c r="T128" s="127">
        <f t="shared" si="17"/>
        <v>0</v>
      </c>
      <c r="U128" s="172"/>
      <c r="V128" s="137">
        <f t="shared" si="14"/>
        <v>0</v>
      </c>
      <c r="Z128" s="51">
        <f t="shared" si="15"/>
        <v>0</v>
      </c>
      <c r="AA128" s="51">
        <f t="shared" si="16"/>
        <v>0</v>
      </c>
    </row>
    <row r="129" spans="1:27">
      <c r="A129" s="2" t="s">
        <v>41</v>
      </c>
      <c r="B129" s="5" t="s">
        <v>54</v>
      </c>
      <c r="C129" s="352">
        <v>9</v>
      </c>
      <c r="D129" s="20" t="s">
        <v>286</v>
      </c>
      <c r="E129" s="67"/>
      <c r="F129" s="68"/>
      <c r="G129" s="68"/>
      <c r="H129" s="69">
        <v>62</v>
      </c>
      <c r="I129" s="68"/>
      <c r="J129" s="68"/>
      <c r="K129" s="70">
        <v>6</v>
      </c>
      <c r="L129" s="68"/>
      <c r="M129" s="71"/>
      <c r="N129" s="101">
        <f t="shared" si="10"/>
        <v>56</v>
      </c>
      <c r="O129" s="180"/>
      <c r="P129" s="111">
        <f t="shared" si="11"/>
        <v>0</v>
      </c>
      <c r="Q129" s="112">
        <f t="shared" si="12"/>
        <v>0</v>
      </c>
      <c r="R129" s="112">
        <f t="shared" si="13"/>
        <v>0</v>
      </c>
      <c r="S129" s="172"/>
      <c r="T129" s="127">
        <f t="shared" si="17"/>
        <v>0</v>
      </c>
      <c r="U129" s="172"/>
      <c r="V129" s="137">
        <f t="shared" si="14"/>
        <v>0</v>
      </c>
      <c r="W129" s="49"/>
      <c r="Z129" s="51">
        <f t="shared" si="15"/>
        <v>0</v>
      </c>
      <c r="AA129" s="51">
        <f t="shared" si="16"/>
        <v>0</v>
      </c>
    </row>
    <row r="130" spans="1:27">
      <c r="A130" s="2" t="s">
        <v>41</v>
      </c>
      <c r="B130" s="5" t="s">
        <v>55</v>
      </c>
      <c r="C130" s="352">
        <v>9</v>
      </c>
      <c r="D130" s="20" t="s">
        <v>286</v>
      </c>
      <c r="E130" s="67"/>
      <c r="F130" s="68"/>
      <c r="G130" s="68"/>
      <c r="H130" s="69">
        <v>33</v>
      </c>
      <c r="I130" s="68"/>
      <c r="J130" s="68"/>
      <c r="K130" s="70">
        <v>3</v>
      </c>
      <c r="L130" s="68"/>
      <c r="M130" s="71"/>
      <c r="N130" s="101">
        <f t="shared" si="10"/>
        <v>30</v>
      </c>
      <c r="O130" s="180"/>
      <c r="P130" s="111">
        <f t="shared" si="11"/>
        <v>0</v>
      </c>
      <c r="Q130" s="112">
        <f t="shared" si="12"/>
        <v>0</v>
      </c>
      <c r="R130" s="112">
        <f t="shared" si="13"/>
        <v>0</v>
      </c>
      <c r="S130" s="172"/>
      <c r="T130" s="127">
        <f t="shared" si="17"/>
        <v>0</v>
      </c>
      <c r="U130" s="172"/>
      <c r="V130" s="137">
        <f t="shared" si="14"/>
        <v>0</v>
      </c>
      <c r="W130" s="49"/>
      <c r="Z130" s="51">
        <f t="shared" si="15"/>
        <v>0</v>
      </c>
      <c r="AA130" s="51">
        <f t="shared" si="16"/>
        <v>0</v>
      </c>
    </row>
    <row r="131" spans="1:27">
      <c r="A131" s="10" t="s">
        <v>56</v>
      </c>
      <c r="B131" s="15" t="s">
        <v>57</v>
      </c>
      <c r="C131" s="353">
        <v>7</v>
      </c>
      <c r="D131" s="21" t="s">
        <v>11</v>
      </c>
      <c r="E131" s="72"/>
      <c r="F131" s="73"/>
      <c r="G131" s="73"/>
      <c r="H131" s="74">
        <v>84</v>
      </c>
      <c r="I131" s="73"/>
      <c r="J131" s="73"/>
      <c r="K131" s="75">
        <v>8</v>
      </c>
      <c r="L131" s="73"/>
      <c r="M131" s="76"/>
      <c r="N131" s="102">
        <f t="shared" si="10"/>
        <v>76</v>
      </c>
      <c r="O131" s="181"/>
      <c r="P131" s="113">
        <f t="shared" si="11"/>
        <v>0</v>
      </c>
      <c r="Q131" s="114">
        <f t="shared" si="12"/>
        <v>0</v>
      </c>
      <c r="R131" s="114">
        <f t="shared" si="13"/>
        <v>0</v>
      </c>
      <c r="S131" s="173"/>
      <c r="T131" s="128">
        <f t="shared" si="17"/>
        <v>0</v>
      </c>
      <c r="U131" s="173"/>
      <c r="V131" s="138">
        <f t="shared" si="14"/>
        <v>0</v>
      </c>
      <c r="W131" s="49"/>
      <c r="Z131" s="51">
        <f t="shared" si="15"/>
        <v>0</v>
      </c>
      <c r="AA131" s="51">
        <f t="shared" si="16"/>
        <v>0</v>
      </c>
    </row>
    <row r="132" spans="1:27">
      <c r="A132" s="10" t="s">
        <v>56</v>
      </c>
      <c r="B132" s="15" t="s">
        <v>58</v>
      </c>
      <c r="C132" s="353">
        <v>7</v>
      </c>
      <c r="D132" s="21" t="s">
        <v>11</v>
      </c>
      <c r="E132" s="72"/>
      <c r="F132" s="73"/>
      <c r="G132" s="73"/>
      <c r="H132" s="74">
        <v>35</v>
      </c>
      <c r="I132" s="73"/>
      <c r="J132" s="73"/>
      <c r="K132" s="75">
        <v>3</v>
      </c>
      <c r="L132" s="73"/>
      <c r="M132" s="76"/>
      <c r="N132" s="102">
        <f t="shared" si="10"/>
        <v>32</v>
      </c>
      <c r="O132" s="181"/>
      <c r="P132" s="113">
        <f t="shared" si="11"/>
        <v>0</v>
      </c>
      <c r="Q132" s="114">
        <f t="shared" si="12"/>
        <v>0</v>
      </c>
      <c r="R132" s="114">
        <f t="shared" si="13"/>
        <v>0</v>
      </c>
      <c r="S132" s="173"/>
      <c r="T132" s="128">
        <f t="shared" si="17"/>
        <v>0</v>
      </c>
      <c r="U132" s="173"/>
      <c r="V132" s="138">
        <f t="shared" si="14"/>
        <v>0</v>
      </c>
      <c r="W132" s="49"/>
      <c r="Z132" s="51">
        <f t="shared" si="15"/>
        <v>0</v>
      </c>
      <c r="AA132" s="51">
        <f t="shared" si="16"/>
        <v>0</v>
      </c>
    </row>
    <row r="133" spans="1:27">
      <c r="A133" s="10" t="s">
        <v>56</v>
      </c>
      <c r="B133" s="15" t="s">
        <v>57</v>
      </c>
      <c r="C133" s="353">
        <v>8</v>
      </c>
      <c r="D133" s="21" t="s">
        <v>26</v>
      </c>
      <c r="E133" s="72"/>
      <c r="F133" s="73"/>
      <c r="G133" s="73"/>
      <c r="H133" s="74">
        <v>82</v>
      </c>
      <c r="I133" s="73"/>
      <c r="J133" s="73"/>
      <c r="K133" s="75">
        <v>8</v>
      </c>
      <c r="L133" s="73"/>
      <c r="M133" s="76"/>
      <c r="N133" s="102">
        <f t="shared" si="10"/>
        <v>74</v>
      </c>
      <c r="O133" s="181"/>
      <c r="P133" s="113">
        <f t="shared" si="11"/>
        <v>0</v>
      </c>
      <c r="Q133" s="114">
        <f t="shared" si="12"/>
        <v>0</v>
      </c>
      <c r="R133" s="114">
        <f t="shared" si="13"/>
        <v>0</v>
      </c>
      <c r="S133" s="173"/>
      <c r="T133" s="128">
        <f t="shared" si="17"/>
        <v>0</v>
      </c>
      <c r="U133" s="173"/>
      <c r="V133" s="138">
        <f t="shared" si="14"/>
        <v>0</v>
      </c>
      <c r="W133" s="49"/>
      <c r="Z133" s="51">
        <f t="shared" si="15"/>
        <v>0</v>
      </c>
      <c r="AA133" s="51">
        <f t="shared" si="16"/>
        <v>0</v>
      </c>
    </row>
    <row r="134" spans="1:27">
      <c r="A134" s="10" t="s">
        <v>56</v>
      </c>
      <c r="B134" s="15" t="s">
        <v>58</v>
      </c>
      <c r="C134" s="353">
        <v>8</v>
      </c>
      <c r="D134" s="21" t="s">
        <v>26</v>
      </c>
      <c r="E134" s="72"/>
      <c r="F134" s="73"/>
      <c r="G134" s="73"/>
      <c r="H134" s="74">
        <v>34</v>
      </c>
      <c r="I134" s="73"/>
      <c r="J134" s="73"/>
      <c r="K134" s="75">
        <v>3</v>
      </c>
      <c r="L134" s="73"/>
      <c r="M134" s="76"/>
      <c r="N134" s="102">
        <f t="shared" si="10"/>
        <v>31</v>
      </c>
      <c r="O134" s="181"/>
      <c r="P134" s="113">
        <f t="shared" ref="P134:P149" si="18">N134*O134</f>
        <v>0</v>
      </c>
      <c r="Q134" s="114">
        <f t="shared" ref="Q134:Q149" si="19">J134-O134</f>
        <v>0</v>
      </c>
      <c r="R134" s="114">
        <f t="shared" ref="R134:R149" si="20">N134*Q134</f>
        <v>0</v>
      </c>
      <c r="S134" s="173"/>
      <c r="T134" s="128">
        <f t="shared" si="17"/>
        <v>0</v>
      </c>
      <c r="U134" s="173"/>
      <c r="V134" s="138">
        <f t="shared" si="14"/>
        <v>0</v>
      </c>
      <c r="W134" s="49"/>
      <c r="Z134" s="51">
        <f t="shared" ref="Z134:Z149" si="21">K134*O134</f>
        <v>0</v>
      </c>
      <c r="AA134" s="51">
        <f t="shared" ref="AA134:AA149" si="22">K134*Q134</f>
        <v>0</v>
      </c>
    </row>
    <row r="135" spans="1:27">
      <c r="A135" s="10" t="s">
        <v>56</v>
      </c>
      <c r="B135" s="15" t="s">
        <v>57</v>
      </c>
      <c r="C135" s="353">
        <v>9</v>
      </c>
      <c r="D135" s="21" t="s">
        <v>286</v>
      </c>
      <c r="E135" s="72"/>
      <c r="F135" s="73"/>
      <c r="G135" s="73"/>
      <c r="H135" s="74">
        <v>63</v>
      </c>
      <c r="I135" s="73"/>
      <c r="J135" s="73"/>
      <c r="K135" s="75">
        <v>6</v>
      </c>
      <c r="L135" s="73"/>
      <c r="M135" s="76"/>
      <c r="N135" s="102">
        <f t="shared" si="10"/>
        <v>57</v>
      </c>
      <c r="O135" s="181"/>
      <c r="P135" s="113">
        <f t="shared" si="18"/>
        <v>0</v>
      </c>
      <c r="Q135" s="114">
        <f t="shared" si="19"/>
        <v>0</v>
      </c>
      <c r="R135" s="114">
        <f t="shared" si="20"/>
        <v>0</v>
      </c>
      <c r="S135" s="173"/>
      <c r="T135" s="128">
        <f t="shared" si="17"/>
        <v>0</v>
      </c>
      <c r="U135" s="173"/>
      <c r="V135" s="138">
        <f t="shared" si="14"/>
        <v>0</v>
      </c>
      <c r="W135" s="49"/>
      <c r="Z135" s="51">
        <f t="shared" si="21"/>
        <v>0</v>
      </c>
      <c r="AA135" s="51">
        <f t="shared" si="22"/>
        <v>0</v>
      </c>
    </row>
    <row r="136" spans="1:27">
      <c r="A136" s="10" t="s">
        <v>56</v>
      </c>
      <c r="B136" s="15" t="s">
        <v>58</v>
      </c>
      <c r="C136" s="353">
        <v>9</v>
      </c>
      <c r="D136" s="21" t="s">
        <v>286</v>
      </c>
      <c r="E136" s="72"/>
      <c r="F136" s="73"/>
      <c r="G136" s="73"/>
      <c r="H136" s="74">
        <v>21</v>
      </c>
      <c r="I136" s="73"/>
      <c r="J136" s="73"/>
      <c r="K136" s="75">
        <v>2</v>
      </c>
      <c r="L136" s="73"/>
      <c r="M136" s="76"/>
      <c r="N136" s="102">
        <f t="shared" si="10"/>
        <v>19</v>
      </c>
      <c r="O136" s="181"/>
      <c r="P136" s="113">
        <f t="shared" si="18"/>
        <v>0</v>
      </c>
      <c r="Q136" s="114">
        <f t="shared" si="19"/>
        <v>0</v>
      </c>
      <c r="R136" s="114">
        <f t="shared" si="20"/>
        <v>0</v>
      </c>
      <c r="S136" s="173"/>
      <c r="T136" s="128">
        <f t="shared" si="17"/>
        <v>0</v>
      </c>
      <c r="U136" s="173"/>
      <c r="V136" s="138">
        <f t="shared" si="14"/>
        <v>0</v>
      </c>
      <c r="W136" s="49"/>
      <c r="Z136" s="51">
        <f t="shared" si="21"/>
        <v>0</v>
      </c>
      <c r="AA136" s="51">
        <f t="shared" si="22"/>
        <v>0</v>
      </c>
    </row>
    <row r="137" spans="1:27">
      <c r="A137" s="9" t="s">
        <v>59</v>
      </c>
      <c r="B137" s="16" t="s">
        <v>60</v>
      </c>
      <c r="C137" s="354">
        <v>7</v>
      </c>
      <c r="D137" s="22" t="s">
        <v>11</v>
      </c>
      <c r="E137" s="77"/>
      <c r="F137" s="78"/>
      <c r="G137" s="78"/>
      <c r="H137" s="79">
        <v>139</v>
      </c>
      <c r="I137" s="78"/>
      <c r="J137" s="78"/>
      <c r="K137" s="80">
        <v>8</v>
      </c>
      <c r="L137" s="78"/>
      <c r="M137" s="81"/>
      <c r="N137" s="103">
        <f t="shared" si="10"/>
        <v>131</v>
      </c>
      <c r="O137" s="182"/>
      <c r="P137" s="115">
        <f t="shared" si="18"/>
        <v>0</v>
      </c>
      <c r="Q137" s="116">
        <f t="shared" si="19"/>
        <v>0</v>
      </c>
      <c r="R137" s="116">
        <f t="shared" si="20"/>
        <v>0</v>
      </c>
      <c r="S137" s="174"/>
      <c r="T137" s="129">
        <f t="shared" si="17"/>
        <v>0</v>
      </c>
      <c r="U137" s="174"/>
      <c r="V137" s="139">
        <f t="shared" si="14"/>
        <v>0</v>
      </c>
      <c r="Z137" s="51">
        <f t="shared" si="21"/>
        <v>0</v>
      </c>
      <c r="AA137" s="51">
        <f t="shared" si="22"/>
        <v>0</v>
      </c>
    </row>
    <row r="138" spans="1:27">
      <c r="A138" s="9" t="s">
        <v>59</v>
      </c>
      <c r="B138" s="16" t="s">
        <v>61</v>
      </c>
      <c r="C138" s="354">
        <v>7</v>
      </c>
      <c r="D138" s="22" t="s">
        <v>11</v>
      </c>
      <c r="E138" s="77"/>
      <c r="F138" s="78"/>
      <c r="G138" s="78"/>
      <c r="H138" s="79">
        <v>134</v>
      </c>
      <c r="I138" s="78"/>
      <c r="J138" s="78"/>
      <c r="K138" s="80">
        <v>8</v>
      </c>
      <c r="L138" s="78"/>
      <c r="M138" s="81"/>
      <c r="N138" s="103">
        <f t="shared" si="10"/>
        <v>126</v>
      </c>
      <c r="O138" s="182"/>
      <c r="P138" s="115">
        <f t="shared" si="18"/>
        <v>0</v>
      </c>
      <c r="Q138" s="116">
        <f t="shared" si="19"/>
        <v>0</v>
      </c>
      <c r="R138" s="116">
        <f t="shared" si="20"/>
        <v>0</v>
      </c>
      <c r="S138" s="174"/>
      <c r="T138" s="129">
        <f t="shared" si="17"/>
        <v>0</v>
      </c>
      <c r="U138" s="174"/>
      <c r="V138" s="139">
        <f t="shared" si="14"/>
        <v>0</v>
      </c>
      <c r="Z138" s="51">
        <f t="shared" si="21"/>
        <v>0</v>
      </c>
      <c r="AA138" s="51">
        <f t="shared" si="22"/>
        <v>0</v>
      </c>
    </row>
    <row r="139" spans="1:27">
      <c r="A139" s="9" t="s">
        <v>59</v>
      </c>
      <c r="B139" s="16" t="s">
        <v>60</v>
      </c>
      <c r="C139" s="354">
        <v>8</v>
      </c>
      <c r="D139" s="22" t="s">
        <v>26</v>
      </c>
      <c r="E139" s="77"/>
      <c r="F139" s="78"/>
      <c r="G139" s="78"/>
      <c r="H139" s="79">
        <v>113</v>
      </c>
      <c r="I139" s="78"/>
      <c r="J139" s="78"/>
      <c r="K139" s="80">
        <v>7</v>
      </c>
      <c r="L139" s="78"/>
      <c r="M139" s="81"/>
      <c r="N139" s="103">
        <f t="shared" si="10"/>
        <v>106</v>
      </c>
      <c r="O139" s="182"/>
      <c r="P139" s="115">
        <f t="shared" si="18"/>
        <v>0</v>
      </c>
      <c r="Q139" s="116">
        <f t="shared" si="19"/>
        <v>0</v>
      </c>
      <c r="R139" s="116">
        <f t="shared" si="20"/>
        <v>0</v>
      </c>
      <c r="S139" s="174"/>
      <c r="T139" s="129">
        <f t="shared" si="17"/>
        <v>0</v>
      </c>
      <c r="U139" s="174"/>
      <c r="V139" s="139">
        <f t="shared" si="14"/>
        <v>0</v>
      </c>
      <c r="Z139" s="51">
        <f t="shared" si="21"/>
        <v>0</v>
      </c>
      <c r="AA139" s="51">
        <f t="shared" si="22"/>
        <v>0</v>
      </c>
    </row>
    <row r="140" spans="1:27">
      <c r="A140" s="9" t="s">
        <v>59</v>
      </c>
      <c r="B140" s="16" t="s">
        <v>61</v>
      </c>
      <c r="C140" s="354">
        <v>8</v>
      </c>
      <c r="D140" s="22" t="s">
        <v>26</v>
      </c>
      <c r="E140" s="77"/>
      <c r="F140" s="78"/>
      <c r="G140" s="78"/>
      <c r="H140" s="79">
        <v>124</v>
      </c>
      <c r="I140" s="78"/>
      <c r="J140" s="78"/>
      <c r="K140" s="80">
        <v>7</v>
      </c>
      <c r="L140" s="78"/>
      <c r="M140" s="81"/>
      <c r="N140" s="103">
        <f t="shared" si="10"/>
        <v>117</v>
      </c>
      <c r="O140" s="182"/>
      <c r="P140" s="115">
        <f t="shared" si="18"/>
        <v>0</v>
      </c>
      <c r="Q140" s="116">
        <f t="shared" si="19"/>
        <v>0</v>
      </c>
      <c r="R140" s="116">
        <f t="shared" si="20"/>
        <v>0</v>
      </c>
      <c r="S140" s="174"/>
      <c r="T140" s="129">
        <f t="shared" si="17"/>
        <v>0</v>
      </c>
      <c r="U140" s="174"/>
      <c r="V140" s="139">
        <f t="shared" si="14"/>
        <v>0</v>
      </c>
      <c r="Z140" s="51">
        <f t="shared" si="21"/>
        <v>0</v>
      </c>
      <c r="AA140" s="51">
        <f t="shared" si="22"/>
        <v>0</v>
      </c>
    </row>
    <row r="141" spans="1:27">
      <c r="A141" s="9" t="s">
        <v>59</v>
      </c>
      <c r="B141" s="16" t="s">
        <v>60</v>
      </c>
      <c r="C141" s="354">
        <v>9</v>
      </c>
      <c r="D141" s="22" t="s">
        <v>286</v>
      </c>
      <c r="E141" s="77"/>
      <c r="F141" s="78"/>
      <c r="G141" s="78"/>
      <c r="H141" s="79">
        <v>111</v>
      </c>
      <c r="I141" s="78"/>
      <c r="J141" s="78"/>
      <c r="K141" s="80">
        <v>7</v>
      </c>
      <c r="L141" s="78"/>
      <c r="M141" s="81"/>
      <c r="N141" s="103">
        <f t="shared" si="10"/>
        <v>104</v>
      </c>
      <c r="O141" s="182"/>
      <c r="P141" s="115">
        <f t="shared" si="18"/>
        <v>0</v>
      </c>
      <c r="Q141" s="116">
        <f t="shared" si="19"/>
        <v>0</v>
      </c>
      <c r="R141" s="116">
        <f t="shared" si="20"/>
        <v>0</v>
      </c>
      <c r="S141" s="174"/>
      <c r="T141" s="129">
        <f t="shared" si="17"/>
        <v>0</v>
      </c>
      <c r="U141" s="174"/>
      <c r="V141" s="139">
        <f t="shared" si="14"/>
        <v>0</v>
      </c>
      <c r="Z141" s="51">
        <f t="shared" si="21"/>
        <v>0</v>
      </c>
      <c r="AA141" s="51">
        <f t="shared" si="22"/>
        <v>0</v>
      </c>
    </row>
    <row r="142" spans="1:27">
      <c r="A142" s="7" t="s">
        <v>62</v>
      </c>
      <c r="B142" s="42" t="s">
        <v>63</v>
      </c>
      <c r="C142" s="355">
        <v>7</v>
      </c>
      <c r="D142" s="43" t="s">
        <v>64</v>
      </c>
      <c r="E142" s="82"/>
      <c r="F142" s="83"/>
      <c r="G142" s="83"/>
      <c r="H142" s="84">
        <v>90</v>
      </c>
      <c r="I142" s="83"/>
      <c r="J142" s="83"/>
      <c r="K142" s="85">
        <v>5</v>
      </c>
      <c r="L142" s="83"/>
      <c r="M142" s="86"/>
      <c r="N142" s="104">
        <f t="shared" si="10"/>
        <v>85</v>
      </c>
      <c r="O142" s="183"/>
      <c r="P142" s="117">
        <f t="shared" si="18"/>
        <v>0</v>
      </c>
      <c r="Q142" s="118">
        <f t="shared" si="19"/>
        <v>0</v>
      </c>
      <c r="R142" s="118">
        <f t="shared" si="20"/>
        <v>0</v>
      </c>
      <c r="S142" s="175"/>
      <c r="T142" s="130">
        <f t="shared" si="17"/>
        <v>0</v>
      </c>
      <c r="U142" s="175"/>
      <c r="V142" s="140">
        <f t="shared" si="14"/>
        <v>0</v>
      </c>
      <c r="Z142" s="51">
        <f t="shared" si="21"/>
        <v>0</v>
      </c>
      <c r="AA142" s="51">
        <f t="shared" si="22"/>
        <v>0</v>
      </c>
    </row>
    <row r="143" spans="1:27">
      <c r="A143" s="7" t="s">
        <v>62</v>
      </c>
      <c r="B143" s="42" t="s">
        <v>63</v>
      </c>
      <c r="C143" s="355">
        <v>7</v>
      </c>
      <c r="D143" s="43" t="s">
        <v>11</v>
      </c>
      <c r="E143" s="82"/>
      <c r="F143" s="83"/>
      <c r="G143" s="83"/>
      <c r="H143" s="84">
        <v>78</v>
      </c>
      <c r="I143" s="83"/>
      <c r="J143" s="83"/>
      <c r="K143" s="85">
        <v>5</v>
      </c>
      <c r="L143" s="83"/>
      <c r="M143" s="86"/>
      <c r="N143" s="104">
        <f t="shared" si="10"/>
        <v>73</v>
      </c>
      <c r="O143" s="183"/>
      <c r="P143" s="117">
        <f t="shared" si="18"/>
        <v>0</v>
      </c>
      <c r="Q143" s="118">
        <f t="shared" si="19"/>
        <v>0</v>
      </c>
      <c r="R143" s="118">
        <f t="shared" si="20"/>
        <v>0</v>
      </c>
      <c r="S143" s="175"/>
      <c r="T143" s="130">
        <f t="shared" si="17"/>
        <v>0</v>
      </c>
      <c r="U143" s="175"/>
      <c r="V143" s="140">
        <f t="shared" si="14"/>
        <v>0</v>
      </c>
      <c r="Z143" s="51">
        <f t="shared" si="21"/>
        <v>0</v>
      </c>
      <c r="AA143" s="51">
        <f t="shared" si="22"/>
        <v>0</v>
      </c>
    </row>
    <row r="144" spans="1:27">
      <c r="A144" s="7" t="s">
        <v>62</v>
      </c>
      <c r="B144" s="42" t="s">
        <v>65</v>
      </c>
      <c r="C144" s="355">
        <v>7</v>
      </c>
      <c r="D144" s="43" t="s">
        <v>11</v>
      </c>
      <c r="E144" s="82"/>
      <c r="F144" s="83"/>
      <c r="G144" s="83"/>
      <c r="H144" s="84">
        <v>38</v>
      </c>
      <c r="I144" s="83"/>
      <c r="J144" s="83"/>
      <c r="K144" s="85">
        <v>6</v>
      </c>
      <c r="L144" s="83"/>
      <c r="M144" s="86"/>
      <c r="N144" s="104">
        <f t="shared" si="10"/>
        <v>32</v>
      </c>
      <c r="O144" s="183"/>
      <c r="P144" s="117">
        <f t="shared" si="18"/>
        <v>0</v>
      </c>
      <c r="Q144" s="118">
        <f t="shared" si="19"/>
        <v>0</v>
      </c>
      <c r="R144" s="118">
        <f t="shared" si="20"/>
        <v>0</v>
      </c>
      <c r="S144" s="175"/>
      <c r="T144" s="130">
        <f t="shared" si="17"/>
        <v>0</v>
      </c>
      <c r="U144" s="175"/>
      <c r="V144" s="140">
        <f t="shared" si="14"/>
        <v>0</v>
      </c>
      <c r="Z144" s="51">
        <f t="shared" si="21"/>
        <v>0</v>
      </c>
      <c r="AA144" s="51">
        <f t="shared" si="22"/>
        <v>0</v>
      </c>
    </row>
    <row r="145" spans="1:27">
      <c r="A145" s="7" t="s">
        <v>62</v>
      </c>
      <c r="B145" s="42" t="s">
        <v>66</v>
      </c>
      <c r="C145" s="355">
        <v>7</v>
      </c>
      <c r="D145" s="43" t="s">
        <v>314</v>
      </c>
      <c r="E145" s="82"/>
      <c r="F145" s="83"/>
      <c r="G145" s="83"/>
      <c r="H145" s="84">
        <v>135</v>
      </c>
      <c r="I145" s="83"/>
      <c r="J145" s="83"/>
      <c r="K145" s="85">
        <v>8</v>
      </c>
      <c r="L145" s="83"/>
      <c r="M145" s="86"/>
      <c r="N145" s="104">
        <f t="shared" si="10"/>
        <v>127</v>
      </c>
      <c r="O145" s="183"/>
      <c r="P145" s="117">
        <f t="shared" si="18"/>
        <v>0</v>
      </c>
      <c r="Q145" s="118">
        <f t="shared" si="19"/>
        <v>0</v>
      </c>
      <c r="R145" s="118">
        <f t="shared" si="20"/>
        <v>0</v>
      </c>
      <c r="S145" s="175"/>
      <c r="T145" s="130">
        <f>S145*H145</f>
        <v>0</v>
      </c>
      <c r="U145" s="175"/>
      <c r="V145" s="140">
        <f t="shared" si="14"/>
        <v>0</v>
      </c>
      <c r="Z145" s="51">
        <f t="shared" si="21"/>
        <v>0</v>
      </c>
      <c r="AA145" s="51">
        <f t="shared" si="22"/>
        <v>0</v>
      </c>
    </row>
    <row r="146" spans="1:27">
      <c r="A146" s="7" t="s">
        <v>62</v>
      </c>
      <c r="B146" s="42" t="s">
        <v>63</v>
      </c>
      <c r="C146" s="355">
        <v>8</v>
      </c>
      <c r="D146" s="43" t="s">
        <v>67</v>
      </c>
      <c r="E146" s="82"/>
      <c r="F146" s="83"/>
      <c r="G146" s="83"/>
      <c r="H146" s="84">
        <v>105</v>
      </c>
      <c r="I146" s="83"/>
      <c r="J146" s="83"/>
      <c r="K146" s="85">
        <v>6</v>
      </c>
      <c r="L146" s="83"/>
      <c r="M146" s="86"/>
      <c r="N146" s="104">
        <f>H146-K146</f>
        <v>99</v>
      </c>
      <c r="O146" s="183"/>
      <c r="P146" s="117">
        <f t="shared" si="18"/>
        <v>0</v>
      </c>
      <c r="Q146" s="118">
        <f t="shared" si="19"/>
        <v>0</v>
      </c>
      <c r="R146" s="118">
        <f t="shared" si="20"/>
        <v>0</v>
      </c>
      <c r="S146" s="175"/>
      <c r="T146" s="130">
        <f>S146*H146</f>
        <v>0</v>
      </c>
      <c r="U146" s="175"/>
      <c r="V146" s="140">
        <f>H146*U146</f>
        <v>0</v>
      </c>
      <c r="Z146" s="51">
        <f t="shared" si="21"/>
        <v>0</v>
      </c>
      <c r="AA146" s="51">
        <f t="shared" si="22"/>
        <v>0</v>
      </c>
    </row>
    <row r="147" spans="1:27">
      <c r="A147" s="7" t="s">
        <v>62</v>
      </c>
      <c r="B147" s="42" t="s">
        <v>63</v>
      </c>
      <c r="C147" s="355">
        <v>8</v>
      </c>
      <c r="D147" s="43" t="s">
        <v>26</v>
      </c>
      <c r="E147" s="82"/>
      <c r="F147" s="83"/>
      <c r="G147" s="83"/>
      <c r="H147" s="84">
        <v>143</v>
      </c>
      <c r="I147" s="83"/>
      <c r="J147" s="83"/>
      <c r="K147" s="85">
        <v>9</v>
      </c>
      <c r="L147" s="83"/>
      <c r="M147" s="86"/>
      <c r="N147" s="104">
        <f>H147-K147</f>
        <v>134</v>
      </c>
      <c r="O147" s="183"/>
      <c r="P147" s="117">
        <f t="shared" si="18"/>
        <v>0</v>
      </c>
      <c r="Q147" s="118">
        <f t="shared" si="19"/>
        <v>0</v>
      </c>
      <c r="R147" s="118">
        <f t="shared" si="20"/>
        <v>0</v>
      </c>
      <c r="S147" s="175"/>
      <c r="T147" s="130">
        <f>S147*H147</f>
        <v>0</v>
      </c>
      <c r="U147" s="175"/>
      <c r="V147" s="140">
        <f>H147*U147</f>
        <v>0</v>
      </c>
      <c r="Z147" s="51">
        <f t="shared" si="21"/>
        <v>0</v>
      </c>
      <c r="AA147" s="51">
        <f t="shared" si="22"/>
        <v>0</v>
      </c>
    </row>
    <row r="148" spans="1:27">
      <c r="A148" s="7" t="s">
        <v>62</v>
      </c>
      <c r="B148" s="42" t="s">
        <v>65</v>
      </c>
      <c r="C148" s="355">
        <v>8</v>
      </c>
      <c r="D148" s="43" t="s">
        <v>26</v>
      </c>
      <c r="E148" s="82"/>
      <c r="F148" s="83"/>
      <c r="G148" s="83"/>
      <c r="H148" s="84">
        <v>42</v>
      </c>
      <c r="I148" s="83"/>
      <c r="J148" s="83"/>
      <c r="K148" s="85">
        <v>7</v>
      </c>
      <c r="L148" s="83"/>
      <c r="M148" s="86"/>
      <c r="N148" s="104">
        <f>H148-K148</f>
        <v>35</v>
      </c>
      <c r="O148" s="183"/>
      <c r="P148" s="117">
        <f t="shared" si="18"/>
        <v>0</v>
      </c>
      <c r="Q148" s="118">
        <f t="shared" si="19"/>
        <v>0</v>
      </c>
      <c r="R148" s="118">
        <f t="shared" si="20"/>
        <v>0</v>
      </c>
      <c r="S148" s="175"/>
      <c r="T148" s="130">
        <f>S148*H148</f>
        <v>0</v>
      </c>
      <c r="U148" s="175"/>
      <c r="V148" s="140">
        <f>H148*U148</f>
        <v>0</v>
      </c>
      <c r="Z148" s="51">
        <f t="shared" si="21"/>
        <v>0</v>
      </c>
      <c r="AA148" s="51">
        <f t="shared" si="22"/>
        <v>0</v>
      </c>
    </row>
    <row r="149" spans="1:27" ht="14.4" thickBot="1">
      <c r="A149" s="7" t="s">
        <v>62</v>
      </c>
      <c r="B149" s="42" t="s">
        <v>66</v>
      </c>
      <c r="C149" s="355">
        <v>8</v>
      </c>
      <c r="D149" s="43" t="s">
        <v>315</v>
      </c>
      <c r="E149" s="82"/>
      <c r="F149" s="83"/>
      <c r="G149" s="83"/>
      <c r="H149" s="84">
        <v>135</v>
      </c>
      <c r="I149" s="83"/>
      <c r="J149" s="83"/>
      <c r="K149" s="85">
        <v>8</v>
      </c>
      <c r="L149" s="83"/>
      <c r="M149" s="86"/>
      <c r="N149" s="104">
        <f>H149-K149</f>
        <v>127</v>
      </c>
      <c r="O149" s="184"/>
      <c r="P149" s="119">
        <f t="shared" si="18"/>
        <v>0</v>
      </c>
      <c r="Q149" s="120">
        <f t="shared" si="19"/>
        <v>0</v>
      </c>
      <c r="R149" s="120">
        <f t="shared" si="20"/>
        <v>0</v>
      </c>
      <c r="S149" s="176"/>
      <c r="T149" s="131">
        <f>S149*H149</f>
        <v>0</v>
      </c>
      <c r="U149" s="176"/>
      <c r="V149" s="141">
        <f>H149*U149</f>
        <v>0</v>
      </c>
      <c r="Z149" s="51">
        <f t="shared" si="21"/>
        <v>0</v>
      </c>
      <c r="AA149" s="51">
        <f t="shared" si="22"/>
        <v>0</v>
      </c>
    </row>
    <row r="150" spans="1:27" ht="70.3" customHeight="1" thickTop="1" thickBot="1">
      <c r="A150" s="2"/>
      <c r="B150" s="5"/>
      <c r="C150" s="352"/>
      <c r="D150" s="20"/>
      <c r="E150" s="87"/>
      <c r="F150" s="88"/>
      <c r="G150" s="89"/>
      <c r="H150" s="90" t="s">
        <v>68</v>
      </c>
      <c r="I150" s="91"/>
      <c r="J150" s="92"/>
      <c r="K150" s="93" t="s">
        <v>69</v>
      </c>
      <c r="L150" s="94"/>
      <c r="M150" s="95"/>
      <c r="N150" s="41"/>
      <c r="O150" s="144" t="s">
        <v>77</v>
      </c>
      <c r="P150" s="121">
        <f>SUM(P5:P149)</f>
        <v>0</v>
      </c>
      <c r="Q150" s="122" t="s">
        <v>123</v>
      </c>
      <c r="R150" s="123">
        <f>SUM(R5:R149)</f>
        <v>0</v>
      </c>
      <c r="S150" s="145" t="s">
        <v>125</v>
      </c>
      <c r="T150" s="132">
        <f>SUM(T5:T149)</f>
        <v>0</v>
      </c>
      <c r="U150" s="145" t="s">
        <v>126</v>
      </c>
      <c r="V150" s="132">
        <f>SUM(V5:V149)</f>
        <v>0</v>
      </c>
    </row>
    <row r="151" spans="1:27" ht="28.2" customHeight="1">
      <c r="A151" s="185"/>
      <c r="B151" s="186"/>
      <c r="C151" s="356"/>
      <c r="D151" s="185"/>
      <c r="E151" s="187"/>
      <c r="F151" s="187"/>
      <c r="G151" s="187"/>
      <c r="H151" s="494" t="s">
        <v>139</v>
      </c>
      <c r="I151" s="494"/>
      <c r="J151" s="187"/>
      <c r="K151" s="495" t="s">
        <v>141</v>
      </c>
      <c r="L151" s="496"/>
      <c r="M151" s="187"/>
      <c r="N151" s="186"/>
      <c r="O151" s="186"/>
      <c r="P151" s="186"/>
      <c r="Q151" s="96" t="s">
        <v>78</v>
      </c>
      <c r="R151" s="142">
        <f>SUM(V129:V136,T129:T136,R129:R136,V115:V124,T115:T124,R115:R124,V101:V110,T101:T110,R101:R110,V89:V96,T89:T96,R89:R96,V76:V83,T76:T83,R76:R83,V63:V70,T63:T70,R63:R70,V50:V57,T50:T57,R50:R57,V35:V42,T35:T42,R35:R42,V20:V27,T20:T27,R20:R27,V5:V12,T5:T12,R5:R12,R16:R17,R31:R32,R46:R47)</f>
        <v>0</v>
      </c>
      <c r="S151" s="186"/>
      <c r="T151" s="186"/>
      <c r="U151" s="186"/>
      <c r="V151" s="186"/>
    </row>
    <row r="152" spans="1:27" ht="25.55" customHeight="1">
      <c r="A152" s="185"/>
      <c r="B152" s="186"/>
      <c r="C152" s="356"/>
      <c r="D152" s="185"/>
      <c r="E152" s="187"/>
      <c r="F152" s="187"/>
      <c r="G152" s="187"/>
      <c r="H152" s="187"/>
      <c r="I152" s="187"/>
      <c r="J152" s="187"/>
      <c r="K152" s="187"/>
      <c r="L152" s="187"/>
      <c r="M152" s="187"/>
      <c r="N152" s="186"/>
      <c r="O152" s="186"/>
      <c r="P152" s="186"/>
      <c r="Q152" s="97" t="s">
        <v>79</v>
      </c>
      <c r="R152" s="143">
        <f>R150+T150+V150-R151</f>
        <v>0</v>
      </c>
      <c r="S152" s="186"/>
      <c r="T152" s="186"/>
      <c r="U152" s="186"/>
      <c r="V152" s="186"/>
    </row>
    <row r="153" spans="1:27" ht="11.75" customHeight="1">
      <c r="A153" s="185"/>
      <c r="B153" s="186"/>
      <c r="C153" s="356"/>
      <c r="D153" s="185"/>
      <c r="E153" s="187"/>
      <c r="F153" s="187"/>
      <c r="G153" s="187"/>
      <c r="H153" s="187"/>
      <c r="I153" s="187"/>
      <c r="J153" s="187"/>
      <c r="K153" s="187"/>
      <c r="L153" s="187"/>
      <c r="M153" s="187"/>
      <c r="N153" s="186"/>
      <c r="O153" s="186"/>
      <c r="P153" s="186"/>
      <c r="Q153" s="186"/>
      <c r="R153" s="188"/>
      <c r="S153" s="186"/>
      <c r="T153" s="186"/>
      <c r="U153" s="186"/>
      <c r="V153" s="186"/>
    </row>
    <row r="154" spans="1:27" ht="24.3" customHeight="1">
      <c r="A154" s="185"/>
      <c r="B154" s="186"/>
      <c r="C154" s="356"/>
      <c r="D154" s="185"/>
      <c r="E154" s="187"/>
      <c r="F154" s="187"/>
      <c r="G154" s="187"/>
      <c r="H154" s="187"/>
      <c r="I154" s="187"/>
      <c r="J154" s="187"/>
      <c r="K154" s="187"/>
      <c r="L154" s="187"/>
    </row>
    <row r="155" spans="1:27" ht="36" customHeight="1">
      <c r="A155" s="185"/>
      <c r="B155" s="186"/>
      <c r="C155" s="356"/>
      <c r="D155" s="185"/>
      <c r="E155" s="508" t="s">
        <v>128</v>
      </c>
      <c r="F155" s="510" t="s">
        <v>127</v>
      </c>
      <c r="G155" s="512" t="s">
        <v>147</v>
      </c>
      <c r="H155" s="513"/>
      <c r="I155" s="490" t="s">
        <v>180</v>
      </c>
      <c r="J155" s="502" t="s">
        <v>313</v>
      </c>
      <c r="K155" s="503"/>
      <c r="L155" s="500" t="s">
        <v>135</v>
      </c>
      <c r="M155" s="504" t="s">
        <v>150</v>
      </c>
      <c r="N155" s="504"/>
      <c r="O155" s="504"/>
    </row>
    <row r="156" spans="1:27" ht="15.05" customHeight="1">
      <c r="A156" s="185"/>
      <c r="B156" s="186"/>
      <c r="C156" s="356"/>
      <c r="D156" s="185"/>
      <c r="E156" s="509"/>
      <c r="F156" s="511"/>
      <c r="G156" s="205" t="s">
        <v>140</v>
      </c>
      <c r="H156" s="221" t="s">
        <v>134</v>
      </c>
      <c r="I156" s="491"/>
      <c r="J156" s="206" t="s">
        <v>140</v>
      </c>
      <c r="K156" s="222" t="s">
        <v>149</v>
      </c>
      <c r="L156" s="501"/>
      <c r="M156" s="198" t="s">
        <v>148</v>
      </c>
      <c r="N156" s="203" t="s">
        <v>178</v>
      </c>
      <c r="O156" s="217" t="s">
        <v>179</v>
      </c>
    </row>
    <row r="157" spans="1:27" ht="15.05" customHeight="1">
      <c r="A157" s="185"/>
      <c r="B157" s="186"/>
      <c r="C157" s="356"/>
      <c r="D157" s="185"/>
      <c r="E157" s="147" t="s">
        <v>181</v>
      </c>
      <c r="F157" s="148" t="s">
        <v>116</v>
      </c>
      <c r="G157" s="208">
        <f>SUM(Z5:Z49)</f>
        <v>0</v>
      </c>
      <c r="H157" s="212">
        <f>SUM(P5:P49)</f>
        <v>0</v>
      </c>
      <c r="I157" s="237">
        <f t="shared" ref="I157:I162" si="23">G157+H157</f>
        <v>0</v>
      </c>
      <c r="J157" s="208">
        <f>SUM(AA5:AA49)</f>
        <v>0</v>
      </c>
      <c r="K157" s="230">
        <f t="shared" ref="K157:K162" si="24">SUM(M157:O157)</f>
        <v>0</v>
      </c>
      <c r="L157" s="242">
        <f t="shared" ref="L157:L162" si="25">K157+J157</f>
        <v>0</v>
      </c>
      <c r="M157" s="150">
        <f>SUM(R5:R49)</f>
        <v>0</v>
      </c>
      <c r="N157" s="151">
        <f>SUM(T5:T49)</f>
        <v>0</v>
      </c>
      <c r="O157" s="208">
        <f>SUM(V5:V49)</f>
        <v>0</v>
      </c>
    </row>
    <row r="158" spans="1:27" ht="15.05" customHeight="1">
      <c r="A158" s="185"/>
      <c r="B158" s="186"/>
      <c r="C158" s="356"/>
      <c r="D158" s="185"/>
      <c r="E158" s="152" t="s">
        <v>182</v>
      </c>
      <c r="F158" s="153" t="s">
        <v>117</v>
      </c>
      <c r="G158" s="209">
        <f>SUM(Z50:Z88)</f>
        <v>0</v>
      </c>
      <c r="H158" s="213">
        <f>SUM(P50:P88)</f>
        <v>0</v>
      </c>
      <c r="I158" s="238">
        <f t="shared" si="23"/>
        <v>0</v>
      </c>
      <c r="J158" s="209">
        <f>SUM(AA50:AA88)</f>
        <v>0</v>
      </c>
      <c r="K158" s="231">
        <f t="shared" si="24"/>
        <v>0</v>
      </c>
      <c r="L158" s="243">
        <f t="shared" si="25"/>
        <v>0</v>
      </c>
      <c r="M158" s="154">
        <f>SUM(R50:R88)</f>
        <v>0</v>
      </c>
      <c r="N158" s="199">
        <f>SUM(T50:T88)</f>
        <v>0</v>
      </c>
      <c r="O158" s="209">
        <f>SUM(V50:V88)</f>
        <v>0</v>
      </c>
    </row>
    <row r="159" spans="1:27" ht="15.05" customHeight="1">
      <c r="A159" s="185"/>
      <c r="B159" s="186"/>
      <c r="C159" s="356"/>
      <c r="D159" s="185"/>
      <c r="E159" s="155" t="s">
        <v>183</v>
      </c>
      <c r="F159" s="156" t="s">
        <v>118</v>
      </c>
      <c r="G159" s="210">
        <f>SUM(Z131:Z136)</f>
        <v>0</v>
      </c>
      <c r="H159" s="214">
        <f>SUM(P131:P136)</f>
        <v>0</v>
      </c>
      <c r="I159" s="239">
        <f t="shared" si="23"/>
        <v>0</v>
      </c>
      <c r="J159" s="210">
        <f>SUM(AA131:AA136)</f>
        <v>0</v>
      </c>
      <c r="K159" s="231">
        <f t="shared" si="24"/>
        <v>0</v>
      </c>
      <c r="L159" s="244">
        <f t="shared" si="25"/>
        <v>0</v>
      </c>
      <c r="M159" s="157">
        <f>SUM(R131:R136)</f>
        <v>0</v>
      </c>
      <c r="N159" s="200">
        <f>SUM(T131:T136)</f>
        <v>0</v>
      </c>
      <c r="O159" s="210">
        <f>SUM(V131:V136)</f>
        <v>0</v>
      </c>
    </row>
    <row r="160" spans="1:27" ht="15.05" customHeight="1">
      <c r="A160" s="185"/>
      <c r="B160" s="186"/>
      <c r="C160" s="356"/>
      <c r="D160" s="185"/>
      <c r="E160" s="158" t="s">
        <v>184</v>
      </c>
      <c r="F160" s="159" t="s">
        <v>120</v>
      </c>
      <c r="G160" s="149">
        <f>SUM(Z89:Z130)</f>
        <v>0</v>
      </c>
      <c r="H160" s="160">
        <f>SUM(P89:P130)</f>
        <v>0</v>
      </c>
      <c r="I160" s="237">
        <f t="shared" si="23"/>
        <v>0</v>
      </c>
      <c r="J160" s="149">
        <f>SUM(AA89:AA130)</f>
        <v>0</v>
      </c>
      <c r="K160" s="231">
        <f t="shared" si="24"/>
        <v>0</v>
      </c>
      <c r="L160" s="242">
        <f t="shared" si="25"/>
        <v>0</v>
      </c>
      <c r="M160" s="161">
        <f>SUM(R89:R130)</f>
        <v>0</v>
      </c>
      <c r="N160" s="162">
        <f>SUM(T89:T130)</f>
        <v>0</v>
      </c>
      <c r="O160" s="162">
        <f>SUM(V89:V130)</f>
        <v>0</v>
      </c>
    </row>
    <row r="161" spans="1:25" ht="15.05" customHeight="1">
      <c r="A161" s="185"/>
      <c r="B161" s="186"/>
      <c r="C161" s="356"/>
      <c r="D161" s="185"/>
      <c r="E161" s="163" t="s">
        <v>185</v>
      </c>
      <c r="F161" s="164" t="s">
        <v>119</v>
      </c>
      <c r="G161" s="211">
        <f>SUM(Z142:Z149)</f>
        <v>0</v>
      </c>
      <c r="H161" s="215">
        <f>SUM(P142:P149)</f>
        <v>0</v>
      </c>
      <c r="I161" s="240">
        <f t="shared" si="23"/>
        <v>0</v>
      </c>
      <c r="J161" s="211">
        <f>SUM(AA142:AA149)</f>
        <v>0</v>
      </c>
      <c r="K161" s="231">
        <f t="shared" si="24"/>
        <v>0</v>
      </c>
      <c r="L161" s="245">
        <f t="shared" si="25"/>
        <v>0</v>
      </c>
      <c r="M161" s="165">
        <f>SUM(R142:R149)</f>
        <v>0</v>
      </c>
      <c r="N161" s="201">
        <f>SUM(T142:T149)</f>
        <v>0</v>
      </c>
      <c r="O161" s="211">
        <f>SUM(V142:V149)</f>
        <v>0</v>
      </c>
    </row>
    <row r="162" spans="1:25" ht="15.05" customHeight="1">
      <c r="A162" s="185"/>
      <c r="B162" s="186"/>
      <c r="C162" s="356"/>
      <c r="D162" s="185"/>
      <c r="E162" s="166" t="s">
        <v>186</v>
      </c>
      <c r="F162" s="167" t="s">
        <v>121</v>
      </c>
      <c r="G162" s="207">
        <f>SUM(Z137:Z141)</f>
        <v>0</v>
      </c>
      <c r="H162" s="216">
        <f>SUM(P137:P141)</f>
        <v>0</v>
      </c>
      <c r="I162" s="241">
        <f t="shared" si="23"/>
        <v>0</v>
      </c>
      <c r="J162" s="207">
        <f>SUM(AA137:AA141)</f>
        <v>0</v>
      </c>
      <c r="K162" s="231">
        <f t="shared" si="24"/>
        <v>0</v>
      </c>
      <c r="L162" s="246">
        <f t="shared" si="25"/>
        <v>0</v>
      </c>
      <c r="M162" s="168">
        <f>SUM(R137:R141)</f>
        <v>0</v>
      </c>
      <c r="N162" s="202">
        <f>SUM(T137:T141)</f>
        <v>0</v>
      </c>
      <c r="O162" s="207">
        <f>SUM(V137:V141)</f>
        <v>0</v>
      </c>
    </row>
    <row r="163" spans="1:25" ht="29" customHeight="1">
      <c r="A163" s="185"/>
      <c r="B163" s="186"/>
      <c r="C163" s="356"/>
      <c r="D163" s="185"/>
      <c r="E163" s="189"/>
      <c r="F163" s="146" t="s">
        <v>129</v>
      </c>
      <c r="G163" s="149">
        <f t="shared" ref="G163:O163" si="26">SUM(G157:G162)</f>
        <v>0</v>
      </c>
      <c r="H163" s="149">
        <f t="shared" si="26"/>
        <v>0</v>
      </c>
      <c r="I163" s="229">
        <f t="shared" si="26"/>
        <v>0</v>
      </c>
      <c r="J163" s="149">
        <f t="shared" si="26"/>
        <v>0</v>
      </c>
      <c r="K163" s="227">
        <f t="shared" si="26"/>
        <v>0</v>
      </c>
      <c r="L163" s="228">
        <f t="shared" si="26"/>
        <v>0</v>
      </c>
      <c r="M163" s="204">
        <f t="shared" si="26"/>
        <v>0</v>
      </c>
      <c r="N163" s="190">
        <f t="shared" si="26"/>
        <v>0</v>
      </c>
      <c r="O163" s="149">
        <f t="shared" si="26"/>
        <v>0</v>
      </c>
      <c r="R163" s="186"/>
      <c r="S163" s="186"/>
      <c r="T163" s="186"/>
      <c r="U163" s="186"/>
      <c r="V163" s="186"/>
      <c r="W163" s="186"/>
      <c r="X163" s="186"/>
      <c r="Y163" s="186"/>
    </row>
    <row r="164" spans="1:25">
      <c r="A164" s="185"/>
      <c r="B164" s="186"/>
      <c r="C164" s="356"/>
      <c r="D164" s="185"/>
      <c r="E164" s="187"/>
      <c r="F164" s="187"/>
      <c r="G164" s="187"/>
      <c r="H164" s="187"/>
      <c r="I164" s="187"/>
      <c r="J164" s="187"/>
      <c r="K164" s="187"/>
      <c r="L164" s="187"/>
      <c r="M164" s="187"/>
      <c r="N164" s="186"/>
      <c r="O164" s="186"/>
      <c r="P164" s="186"/>
      <c r="Q164" s="186"/>
      <c r="R164" s="186"/>
      <c r="S164" s="186"/>
      <c r="T164" s="186"/>
      <c r="U164" s="186"/>
      <c r="V164" s="186"/>
      <c r="W164" s="186"/>
      <c r="X164" s="186"/>
      <c r="Y164" s="186"/>
    </row>
    <row r="165" spans="1:25">
      <c r="A165" s="185"/>
      <c r="B165" s="186"/>
      <c r="C165" s="356"/>
      <c r="D165" s="185"/>
      <c r="E165" s="187"/>
      <c r="F165" s="187"/>
      <c r="G165" s="187"/>
      <c r="H165" s="187"/>
      <c r="I165" s="187"/>
      <c r="J165" s="187"/>
      <c r="K165" s="187"/>
      <c r="L165" s="187"/>
      <c r="M165" s="187"/>
      <c r="N165" s="186"/>
      <c r="O165" s="186"/>
      <c r="P165" s="186"/>
      <c r="Q165" s="186"/>
      <c r="R165" s="186"/>
      <c r="S165" s="186"/>
      <c r="T165" s="186"/>
      <c r="U165" s="186"/>
      <c r="V165" s="186"/>
      <c r="W165" s="186"/>
      <c r="X165" s="186"/>
      <c r="Y165" s="186"/>
    </row>
    <row r="166" spans="1:25">
      <c r="A166" s="185"/>
      <c r="B166" s="186"/>
      <c r="C166" s="356"/>
      <c r="D166" s="185"/>
      <c r="E166" s="187"/>
      <c r="F166" s="187"/>
      <c r="G166" s="187"/>
      <c r="H166" s="187"/>
      <c r="I166" s="187"/>
      <c r="J166" s="187"/>
      <c r="K166" s="187"/>
      <c r="L166" s="187"/>
      <c r="M166" s="187"/>
      <c r="N166" s="186"/>
      <c r="O166" s="186"/>
      <c r="P166" s="186"/>
      <c r="Q166" s="186"/>
      <c r="R166" s="186"/>
      <c r="S166" s="186"/>
      <c r="T166" s="186"/>
      <c r="U166" s="186"/>
      <c r="V166" s="186"/>
      <c r="W166" s="186"/>
      <c r="X166" s="186"/>
      <c r="Y166" s="186"/>
    </row>
    <row r="167" spans="1:25">
      <c r="A167" s="185"/>
      <c r="B167" s="186"/>
      <c r="C167" s="356"/>
      <c r="D167" s="185"/>
      <c r="E167" s="187"/>
      <c r="F167" s="187"/>
      <c r="G167" s="187"/>
      <c r="H167" s="187"/>
      <c r="I167" s="187"/>
      <c r="J167" s="187"/>
      <c r="K167" s="187"/>
      <c r="L167" s="187"/>
      <c r="M167" s="187"/>
      <c r="N167" s="186"/>
      <c r="O167" s="186"/>
      <c r="P167" s="186"/>
      <c r="Q167" s="186"/>
      <c r="R167" s="186"/>
      <c r="S167" s="186"/>
      <c r="T167" s="186"/>
      <c r="U167" s="186"/>
      <c r="V167" s="186"/>
      <c r="W167" s="186"/>
      <c r="X167" s="186"/>
      <c r="Y167" s="186"/>
    </row>
    <row r="168" spans="1:25">
      <c r="A168" s="185"/>
      <c r="B168" s="186"/>
      <c r="C168" s="356"/>
      <c r="D168" s="185"/>
      <c r="E168" s="187"/>
      <c r="F168" s="187"/>
      <c r="G168" s="187"/>
      <c r="H168" s="187"/>
      <c r="I168" s="187"/>
      <c r="J168" s="187"/>
      <c r="K168" s="187"/>
      <c r="L168" s="187"/>
      <c r="M168" s="187"/>
      <c r="N168" s="186"/>
      <c r="O168" s="186"/>
      <c r="P168" s="186"/>
      <c r="Q168" s="186"/>
      <c r="R168" s="186"/>
      <c r="S168" s="186"/>
      <c r="T168" s="186"/>
      <c r="U168" s="186"/>
      <c r="V168" s="186"/>
      <c r="W168" s="186"/>
      <c r="X168" s="186"/>
      <c r="Y168" s="186"/>
    </row>
    <row r="169" spans="1:25">
      <c r="A169" s="185"/>
      <c r="B169" s="186"/>
      <c r="C169" s="356"/>
      <c r="D169" s="185"/>
      <c r="E169" s="187"/>
      <c r="F169" s="187"/>
      <c r="G169" s="187"/>
      <c r="H169" s="187"/>
      <c r="I169" s="187"/>
      <c r="J169" s="187"/>
      <c r="K169" s="187"/>
      <c r="L169" s="187"/>
      <c r="M169" s="187"/>
      <c r="N169" s="186"/>
      <c r="O169" s="186"/>
      <c r="P169" s="186"/>
      <c r="Q169" s="186"/>
      <c r="R169" s="186"/>
      <c r="S169" s="186"/>
      <c r="T169" s="186"/>
      <c r="U169" s="186"/>
      <c r="V169" s="186"/>
      <c r="W169" s="186"/>
      <c r="X169" s="186"/>
      <c r="Y169" s="186"/>
    </row>
    <row r="170" spans="1:25">
      <c r="A170" s="185"/>
      <c r="B170" s="186"/>
      <c r="C170" s="356"/>
      <c r="D170" s="185"/>
      <c r="E170" s="187"/>
      <c r="F170" s="187"/>
      <c r="G170" s="187"/>
      <c r="H170" s="187"/>
      <c r="I170" s="187"/>
      <c r="J170" s="187"/>
      <c r="K170" s="187"/>
      <c r="L170" s="187"/>
      <c r="M170" s="187"/>
      <c r="N170" s="186"/>
      <c r="O170" s="186"/>
      <c r="P170" s="186"/>
      <c r="Q170" s="186"/>
      <c r="R170" s="186"/>
      <c r="S170" s="186"/>
      <c r="T170" s="186"/>
      <c r="U170" s="186"/>
      <c r="V170" s="186"/>
      <c r="W170" s="186"/>
      <c r="X170" s="186"/>
      <c r="Y170" s="186"/>
    </row>
    <row r="171" spans="1:25">
      <c r="A171" s="185"/>
      <c r="B171" s="186"/>
      <c r="C171" s="356"/>
      <c r="D171" s="185"/>
      <c r="E171" s="187"/>
      <c r="F171" s="187"/>
      <c r="G171" s="187"/>
      <c r="H171" s="187"/>
      <c r="I171" s="187"/>
      <c r="J171" s="187"/>
      <c r="K171" s="187"/>
      <c r="L171" s="187"/>
      <c r="M171" s="187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</row>
    <row r="172" spans="1:25">
      <c r="A172" s="185"/>
      <c r="B172" s="186"/>
      <c r="C172" s="356"/>
      <c r="D172" s="185"/>
      <c r="E172" s="187"/>
      <c r="F172" s="187"/>
      <c r="G172" s="187"/>
      <c r="H172" s="187"/>
      <c r="I172" s="187"/>
      <c r="J172" s="187"/>
      <c r="K172" s="187"/>
      <c r="L172" s="187"/>
      <c r="M172" s="187"/>
      <c r="N172" s="186"/>
      <c r="O172" s="186"/>
      <c r="P172" s="186"/>
      <c r="Q172" s="186"/>
      <c r="R172" s="186"/>
      <c r="S172" s="186"/>
      <c r="T172" s="186"/>
      <c r="U172" s="186"/>
      <c r="V172" s="186"/>
      <c r="W172" s="186"/>
      <c r="X172" s="186"/>
      <c r="Y172" s="186"/>
    </row>
    <row r="173" spans="1:25">
      <c r="A173" s="185"/>
      <c r="B173" s="186"/>
      <c r="C173" s="356"/>
      <c r="D173" s="185"/>
      <c r="E173" s="187"/>
      <c r="F173" s="187"/>
      <c r="G173" s="187"/>
      <c r="H173" s="187"/>
      <c r="I173" s="187"/>
      <c r="J173" s="187"/>
      <c r="K173" s="187"/>
      <c r="L173" s="187"/>
      <c r="M173" s="187"/>
      <c r="N173" s="186"/>
      <c r="O173" s="186"/>
      <c r="P173" s="186"/>
      <c r="Q173" s="186"/>
      <c r="R173" s="186"/>
      <c r="S173" s="186"/>
      <c r="T173" s="186"/>
      <c r="U173" s="186"/>
      <c r="V173" s="186"/>
      <c r="W173" s="186"/>
      <c r="X173" s="186"/>
      <c r="Y173" s="186"/>
    </row>
    <row r="174" spans="1:25">
      <c r="A174" s="185"/>
      <c r="B174" s="186"/>
      <c r="C174" s="356"/>
      <c r="D174" s="185"/>
      <c r="E174" s="187"/>
      <c r="F174" s="187"/>
      <c r="G174" s="187"/>
      <c r="H174" s="187"/>
      <c r="I174" s="187"/>
      <c r="J174" s="187"/>
      <c r="K174" s="187"/>
      <c r="L174" s="187"/>
      <c r="M174" s="187"/>
      <c r="N174" s="186"/>
      <c r="O174" s="186"/>
      <c r="P174" s="186"/>
      <c r="Q174" s="186"/>
      <c r="R174" s="186"/>
      <c r="S174" s="186"/>
      <c r="T174" s="186"/>
      <c r="U174" s="186"/>
      <c r="V174" s="186"/>
      <c r="W174" s="186"/>
      <c r="X174" s="186"/>
      <c r="Y174" s="186"/>
    </row>
    <row r="175" spans="1:25">
      <c r="A175" s="185"/>
      <c r="B175" s="186"/>
      <c r="C175" s="356"/>
      <c r="D175" s="185"/>
      <c r="E175" s="187"/>
      <c r="F175" s="187"/>
      <c r="G175" s="187"/>
      <c r="H175" s="187"/>
      <c r="I175" s="187"/>
      <c r="J175" s="187"/>
      <c r="K175" s="187"/>
      <c r="L175" s="187"/>
      <c r="M175" s="187"/>
      <c r="N175" s="186"/>
      <c r="O175" s="186"/>
      <c r="P175" s="186"/>
      <c r="Q175" s="186"/>
      <c r="R175" s="186"/>
      <c r="S175" s="186"/>
      <c r="T175" s="186"/>
      <c r="U175" s="186"/>
      <c r="V175" s="186"/>
      <c r="W175" s="186"/>
      <c r="X175" s="186"/>
      <c r="Y175" s="186"/>
    </row>
    <row r="176" spans="1:25">
      <c r="A176" s="185"/>
      <c r="B176" s="186"/>
      <c r="C176" s="356"/>
      <c r="D176" s="185"/>
      <c r="E176" s="187"/>
      <c r="F176" s="187"/>
      <c r="G176" s="187"/>
      <c r="H176" s="187"/>
      <c r="I176" s="187"/>
      <c r="J176" s="187"/>
      <c r="K176" s="187"/>
      <c r="L176" s="187"/>
      <c r="M176" s="187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186"/>
      <c r="Y176" s="186"/>
    </row>
    <row r="177" spans="1:25">
      <c r="A177" s="185"/>
      <c r="B177" s="186"/>
      <c r="C177" s="356"/>
      <c r="D177" s="185"/>
      <c r="E177" s="187"/>
      <c r="F177" s="187"/>
      <c r="G177" s="187"/>
      <c r="H177" s="187"/>
      <c r="I177" s="187"/>
      <c r="J177" s="187"/>
      <c r="K177" s="187"/>
      <c r="L177" s="187"/>
      <c r="M177" s="187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</row>
  </sheetData>
  <sheetProtection formatCells="0" formatColumns="0" formatRows="0" insertColumns="0" insertRows="0" insertHyperlinks="0" deleteColumns="0" deleteRows="0" selectLockedCells="1" sort="0" autoFilter="0" pivotTables="0"/>
  <autoFilter ref="J4:J149"/>
  <mergeCells count="16">
    <mergeCell ref="A2:B3"/>
    <mergeCell ref="A1:B1"/>
    <mergeCell ref="I155:I156"/>
    <mergeCell ref="S1:V1"/>
    <mergeCell ref="H151:I151"/>
    <mergeCell ref="K151:L151"/>
    <mergeCell ref="J1:L1"/>
    <mergeCell ref="O1:P1"/>
    <mergeCell ref="L155:L156"/>
    <mergeCell ref="J155:K155"/>
    <mergeCell ref="M155:O155"/>
    <mergeCell ref="Q1:R1"/>
    <mergeCell ref="E1:I1"/>
    <mergeCell ref="E155:E156"/>
    <mergeCell ref="F155:F156"/>
    <mergeCell ref="G155:H155"/>
  </mergeCells>
  <phoneticPr fontId="1" type="noConversion"/>
  <printOptions horizontalCentered="1"/>
  <pageMargins left="0.31496062992125984" right="0.31496062992125984" top="0.59055118110236227" bottom="0.70866141732283472" header="0.59055118110236227" footer="0.39370078740157483"/>
  <pageSetup paperSize="9" scale="80" orientation="portrait" r:id="rId1"/>
  <headerFooter scaleWithDoc="0" alignWithMargins="0">
    <oddFooter xml:space="preserve">&amp;L&amp;"細明體,標準"　　　承辦
　　　科室&amp;C&amp;"細明體,標準"主(會)計　　　　　　　　　　機關
單位　　　　　　　　　　　　首長&amp;R&amp;"細明體,標準"第&amp;P頁，共&amp;N頁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8"/>
  <cols>
    <col min="1" max="2" width="40.375" bestFit="1" customWidth="1"/>
  </cols>
  <sheetData>
    <row r="1" spans="1:2">
      <c r="A1" t="s">
        <v>70</v>
      </c>
      <c r="B1" t="s">
        <v>71</v>
      </c>
    </row>
    <row r="2" spans="1:2">
      <c r="A2" t="s">
        <v>72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3</vt:i4>
      </vt:variant>
    </vt:vector>
  </HeadingPairs>
  <TitlesOfParts>
    <vt:vector size="9" baseType="lpstr">
      <vt:lpstr>統計表</vt:lpstr>
      <vt:lpstr>AB表</vt:lpstr>
      <vt:lpstr>工作表3</vt:lpstr>
      <vt:lpstr>單價表</vt:lpstr>
      <vt:lpstr>試算表(參考用)</vt:lpstr>
      <vt:lpstr>抬頭</vt:lpstr>
      <vt:lpstr>統計表!Print_Area</vt:lpstr>
      <vt:lpstr>'試算表(參考用)'!Print_Titles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2022-01-18T06:50:12Z</cp:lastPrinted>
  <dcterms:created xsi:type="dcterms:W3CDTF">2021-09-06T06:24:56Z</dcterms:created>
  <dcterms:modified xsi:type="dcterms:W3CDTF">2022-01-25T01:29:55Z</dcterms:modified>
</cp:coreProperties>
</file>